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d.docs.live.net/cc49a6f129e4d962/เอกสาร/"/>
    </mc:Choice>
  </mc:AlternateContent>
  <xr:revisionPtr revIDLastSave="79" documentId="11_00CCF0FC2B45131826A953306D705CABE708E1F1" xr6:coauthVersionLast="47" xr6:coauthVersionMax="47" xr10:uidLastSave="{832180F0-855F-42B8-9517-D84C3E64BFDA}"/>
  <bookViews>
    <workbookView xWindow="-110" yWindow="-110" windowWidth="19420" windowHeight="10420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3">เชียงใหม่!$1:$6</definedName>
    <definedName name="_xlnm.Print_Titles" localSheetId="2">เชียงราย!$1:$6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1">กำแพงเพชร!$1:$6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563" i="18" l="1"/>
  <c r="I562" i="18"/>
  <c r="I563" i="17"/>
  <c r="I562" i="17"/>
  <c r="I563" i="16"/>
  <c r="I562" i="16"/>
  <c r="I563" i="15"/>
  <c r="I562" i="15"/>
  <c r="I563" i="14"/>
  <c r="I562" i="14"/>
  <c r="I563" i="13"/>
  <c r="I562" i="13"/>
  <c r="I563" i="12"/>
  <c r="I562" i="12"/>
  <c r="I563" i="11"/>
  <c r="I562" i="11"/>
  <c r="I563" i="10"/>
  <c r="I562" i="10"/>
  <c r="I563" i="9"/>
  <c r="I562" i="9"/>
  <c r="I563" i="8" l="1"/>
  <c r="I562" i="8"/>
  <c r="J425" i="8"/>
  <c r="J424" i="8"/>
  <c r="I563" i="7"/>
  <c r="I562" i="7"/>
  <c r="I563" i="6"/>
  <c r="I562" i="6"/>
  <c r="I563" i="5"/>
  <c r="I562" i="5"/>
  <c r="I563" i="4"/>
  <c r="I562" i="4"/>
  <c r="I563" i="3"/>
  <c r="I562" i="3"/>
  <c r="I563" i="2"/>
  <c r="I562" i="2"/>
  <c r="J635" i="18"/>
  <c r="I635" i="18"/>
  <c r="J634" i="18"/>
  <c r="I634" i="18"/>
  <c r="J633" i="18"/>
  <c r="I633" i="18"/>
  <c r="J632" i="18"/>
  <c r="I632" i="18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6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3" i="18"/>
  <c r="J562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P330" i="18"/>
  <c r="N330" i="18"/>
  <c r="M330" i="18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O313" i="18"/>
  <c r="N311" i="18"/>
  <c r="M311" i="18"/>
  <c r="P311" i="18" s="1"/>
  <c r="L311" i="18"/>
  <c r="O311" i="18" s="1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M292" i="18" s="1"/>
  <c r="O293" i="18"/>
  <c r="O291" i="18"/>
  <c r="N291" i="18"/>
  <c r="M291" i="18"/>
  <c r="P291" i="18" s="1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M273" i="18" s="1"/>
  <c r="O274" i="18"/>
  <c r="O272" i="18"/>
  <c r="N272" i="18"/>
  <c r="M272" i="18"/>
  <c r="P272" i="18" s="1"/>
  <c r="L272" i="18"/>
  <c r="J270" i="18"/>
  <c r="I270" i="18"/>
  <c r="J269" i="18"/>
  <c r="J268" i="18"/>
  <c r="J267" i="18"/>
  <c r="I267" i="18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P251" i="18"/>
  <c r="N251" i="18"/>
  <c r="M251" i="18"/>
  <c r="L251" i="18"/>
  <c r="O251" i="18" s="1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N221" i="18"/>
  <c r="M221" i="18"/>
  <c r="L221" i="18"/>
  <c r="O221" i="18" s="1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O143" i="18"/>
  <c r="P141" i="18"/>
  <c r="N141" i="18"/>
  <c r="M141" i="18"/>
  <c r="L141" i="18"/>
  <c r="O141" i="18" s="1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O119" i="18"/>
  <c r="N119" i="18"/>
  <c r="M119" i="18"/>
  <c r="P119" i="18" s="1"/>
  <c r="L119" i="18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M102" i="18" s="1"/>
  <c r="L100" i="18"/>
  <c r="L99" i="18"/>
  <c r="N98" i="18"/>
  <c r="M98" i="18"/>
  <c r="O97" i="18"/>
  <c r="P95" i="18"/>
  <c r="N95" i="18"/>
  <c r="M95" i="18"/>
  <c r="L95" i="18"/>
  <c r="O95" i="18" s="1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O69" i="18"/>
  <c r="N67" i="18"/>
  <c r="M67" i="18"/>
  <c r="P67" i="18" s="1"/>
  <c r="L67" i="18"/>
  <c r="O67" i="18" s="1"/>
  <c r="J65" i="18"/>
  <c r="I65" i="18"/>
  <c r="J64" i="18"/>
  <c r="I64" i="18"/>
  <c r="N61" i="18"/>
  <c r="L61" i="18"/>
  <c r="O61" i="18" s="1"/>
  <c r="L59" i="18"/>
  <c r="L58" i="18"/>
  <c r="N57" i="18"/>
  <c r="M57" i="18"/>
  <c r="P54" i="18"/>
  <c r="N54" i="18"/>
  <c r="M54" i="18"/>
  <c r="L54" i="18"/>
  <c r="O54" i="18" s="1"/>
  <c r="N49" i="18"/>
  <c r="L49" i="18"/>
  <c r="O49" i="18" s="1"/>
  <c r="L47" i="18"/>
  <c r="L46" i="18"/>
  <c r="N45" i="18"/>
  <c r="M45" i="18"/>
  <c r="N42" i="18"/>
  <c r="M42" i="18"/>
  <c r="P42" i="18" s="1"/>
  <c r="L42" i="18"/>
  <c r="O42" i="18" s="1"/>
  <c r="P36" i="18"/>
  <c r="O36" i="18"/>
  <c r="P35" i="18"/>
  <c r="O35" i="18"/>
  <c r="P34" i="18"/>
  <c r="M34" i="18"/>
  <c r="M33" i="18"/>
  <c r="P33" i="18" s="1"/>
  <c r="P32" i="18"/>
  <c r="M32" i="18"/>
  <c r="M31" i="18"/>
  <c r="P31" i="18" s="1"/>
  <c r="P30" i="18"/>
  <c r="M30" i="18"/>
  <c r="M29" i="18"/>
  <c r="P25" i="18"/>
  <c r="N25" i="18"/>
  <c r="M25" i="18"/>
  <c r="L25" i="18"/>
  <c r="N24" i="18"/>
  <c r="M24" i="18"/>
  <c r="P24" i="18" s="1"/>
  <c r="P23" i="18"/>
  <c r="N23" i="18"/>
  <c r="M23" i="18"/>
  <c r="P21" i="18"/>
  <c r="N21" i="18"/>
  <c r="M21" i="18"/>
  <c r="M19" i="18" s="1"/>
  <c r="L21" i="18"/>
  <c r="O21" i="18" s="1"/>
  <c r="N19" i="18"/>
  <c r="N15" i="18"/>
  <c r="M15" i="18"/>
  <c r="P15" i="18" s="1"/>
  <c r="M11" i="18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3" i="17"/>
  <c r="J562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M331" i="17" s="1"/>
  <c r="O332" i="17"/>
  <c r="O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O313" i="17"/>
  <c r="O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P291" i="17"/>
  <c r="N291" i="17"/>
  <c r="M291" i="17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P272" i="17"/>
  <c r="N272" i="17"/>
  <c r="M272" i="17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O253" i="17"/>
  <c r="O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L226" i="17"/>
  <c r="L225" i="17"/>
  <c r="N224" i="17"/>
  <c r="M224" i="17"/>
  <c r="O223" i="17"/>
  <c r="P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O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P119" i="17"/>
  <c r="N119" i="17"/>
  <c r="M119" i="17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O97" i="17"/>
  <c r="N95" i="17"/>
  <c r="M95" i="17"/>
  <c r="L95" i="17"/>
  <c r="O95" i="17" s="1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O74" i="17" s="1"/>
  <c r="L72" i="17"/>
  <c r="L71" i="17"/>
  <c r="N70" i="17"/>
  <c r="M70" i="17"/>
  <c r="P70" i="17" s="1"/>
  <c r="O69" i="17"/>
  <c r="P67" i="17"/>
  <c r="N67" i="17"/>
  <c r="M67" i="17"/>
  <c r="L67" i="17"/>
  <c r="J65" i="17"/>
  <c r="I65" i="17"/>
  <c r="K65" i="17" s="1"/>
  <c r="J64" i="17"/>
  <c r="I64" i="17"/>
  <c r="K64" i="17" s="1"/>
  <c r="N61" i="17"/>
  <c r="L61" i="17"/>
  <c r="O61" i="17" s="1"/>
  <c r="L59" i="17"/>
  <c r="L58" i="17"/>
  <c r="N57" i="17"/>
  <c r="M57" i="17"/>
  <c r="O54" i="17"/>
  <c r="N54" i="17"/>
  <c r="M54" i="17"/>
  <c r="L54" i="17"/>
  <c r="N49" i="17"/>
  <c r="L49" i="17"/>
  <c r="M49" i="17" s="1"/>
  <c r="L47" i="17"/>
  <c r="L46" i="17"/>
  <c r="N45" i="17"/>
  <c r="M45" i="17"/>
  <c r="P42" i="17"/>
  <c r="N42" i="17"/>
  <c r="M42" i="17"/>
  <c r="L42" i="17"/>
  <c r="P36" i="17"/>
  <c r="O36" i="17"/>
  <c r="P35" i="17"/>
  <c r="O35" i="17"/>
  <c r="M34" i="17"/>
  <c r="P34" i="17" s="1"/>
  <c r="P33" i="17"/>
  <c r="M33" i="17"/>
  <c r="M32" i="17"/>
  <c r="P32" i="17" s="1"/>
  <c r="P31" i="17"/>
  <c r="M31" i="17"/>
  <c r="M30" i="17"/>
  <c r="P30" i="17" s="1"/>
  <c r="P29" i="17"/>
  <c r="M29" i="17"/>
  <c r="O25" i="17"/>
  <c r="N25" i="17"/>
  <c r="M25" i="17"/>
  <c r="L25" i="17"/>
  <c r="P24" i="17"/>
  <c r="N24" i="17"/>
  <c r="M24" i="17"/>
  <c r="N23" i="17"/>
  <c r="M23" i="17"/>
  <c r="O21" i="17"/>
  <c r="N21" i="17"/>
  <c r="M21" i="17"/>
  <c r="L21" i="17"/>
  <c r="L19" i="17" s="1"/>
  <c r="O19" i="17"/>
  <c r="M19" i="17"/>
  <c r="O15" i="17"/>
  <c r="N15" i="17"/>
  <c r="L15" i="17"/>
  <c r="M14" i="17"/>
  <c r="P14" i="17" s="1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2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3" i="16"/>
  <c r="J562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K369" i="16" s="1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O337" i="16" s="1"/>
  <c r="L335" i="16"/>
  <c r="L334" i="16"/>
  <c r="N333" i="16"/>
  <c r="M333" i="16"/>
  <c r="M331" i="16" s="1"/>
  <c r="O332" i="16"/>
  <c r="O330" i="16"/>
  <c r="N330" i="16"/>
  <c r="M330" i="16"/>
  <c r="P330" i="16" s="1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O313" i="16"/>
  <c r="N311" i="16"/>
  <c r="M311" i="16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P291" i="16"/>
  <c r="N291" i="16"/>
  <c r="M291" i="16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P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O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O223" i="16"/>
  <c r="P221" i="16"/>
  <c r="O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O141" i="16"/>
  <c r="N141" i="16"/>
  <c r="M141" i="16"/>
  <c r="L141" i="16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M122" i="16"/>
  <c r="M120" i="16" s="1"/>
  <c r="O121" i="16"/>
  <c r="P119" i="16"/>
  <c r="N119" i="16"/>
  <c r="M119" i="16"/>
  <c r="L119" i="16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M96" i="16" s="1"/>
  <c r="P96" i="16" s="1"/>
  <c r="O97" i="16"/>
  <c r="P95" i="16"/>
  <c r="O95" i="16"/>
  <c r="N95" i="16"/>
  <c r="M95" i="16"/>
  <c r="L95" i="16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M74" i="16" s="1"/>
  <c r="L72" i="16"/>
  <c r="L71" i="16"/>
  <c r="N70" i="16"/>
  <c r="M70" i="16"/>
  <c r="O69" i="16"/>
  <c r="O67" i="16"/>
  <c r="N67" i="16"/>
  <c r="M67" i="16"/>
  <c r="P67" i="16" s="1"/>
  <c r="L67" i="16"/>
  <c r="J65" i="16"/>
  <c r="I65" i="16"/>
  <c r="J64" i="16"/>
  <c r="I64" i="16"/>
  <c r="N61" i="16"/>
  <c r="L61" i="16"/>
  <c r="O61" i="16" s="1"/>
  <c r="L59" i="16"/>
  <c r="L58" i="16"/>
  <c r="N57" i="16"/>
  <c r="M57" i="16"/>
  <c r="N54" i="16"/>
  <c r="M54" i="16"/>
  <c r="P54" i="16" s="1"/>
  <c r="L54" i="16"/>
  <c r="O54" i="16" s="1"/>
  <c r="N49" i="16"/>
  <c r="L49" i="16"/>
  <c r="M49" i="16" s="1"/>
  <c r="L47" i="16"/>
  <c r="L46" i="16"/>
  <c r="N45" i="16"/>
  <c r="M45" i="16"/>
  <c r="P42" i="16"/>
  <c r="O42" i="16"/>
  <c r="N42" i="16"/>
  <c r="M42" i="16"/>
  <c r="L42" i="16"/>
  <c r="P36" i="16"/>
  <c r="O36" i="16"/>
  <c r="P35" i="16"/>
  <c r="O35" i="16"/>
  <c r="M34" i="16"/>
  <c r="P34" i="16" s="1"/>
  <c r="P33" i="16"/>
  <c r="M33" i="16"/>
  <c r="M32" i="16"/>
  <c r="M30" i="16" s="1"/>
  <c r="P30" i="16" s="1"/>
  <c r="P31" i="16"/>
  <c r="M31" i="16"/>
  <c r="M29" i="16"/>
  <c r="N25" i="16"/>
  <c r="M25" i="16"/>
  <c r="P25" i="16" s="1"/>
  <c r="L25" i="16"/>
  <c r="P24" i="16"/>
  <c r="N24" i="16"/>
  <c r="M24" i="16"/>
  <c r="N23" i="16"/>
  <c r="M23" i="16"/>
  <c r="P23" i="16" s="1"/>
  <c r="P21" i="16"/>
  <c r="O21" i="16"/>
  <c r="N21" i="16"/>
  <c r="N19" i="16" s="1"/>
  <c r="M21" i="16"/>
  <c r="M19" i="16" s="1"/>
  <c r="L21" i="16"/>
  <c r="N15" i="16"/>
  <c r="M14" i="16"/>
  <c r="P14" i="16" s="1"/>
  <c r="M11" i="16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5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3" i="15"/>
  <c r="J562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N535" i="15"/>
  <c r="L535" i="15"/>
  <c r="N534" i="15"/>
  <c r="L534" i="15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N330" i="15"/>
  <c r="M330" i="15"/>
  <c r="P330" i="15" s="1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P311" i="15"/>
  <c r="N311" i="15"/>
  <c r="M311" i="15"/>
  <c r="L311" i="15"/>
  <c r="O311" i="15" s="1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L296" i="15"/>
  <c r="L295" i="15"/>
  <c r="N294" i="15"/>
  <c r="M294" i="15"/>
  <c r="O293" i="15"/>
  <c r="N291" i="15"/>
  <c r="M291" i="15"/>
  <c r="P291" i="15" s="1"/>
  <c r="L291" i="15"/>
  <c r="O291" i="15" s="1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P272" i="15"/>
  <c r="O272" i="15"/>
  <c r="N272" i="15"/>
  <c r="M272" i="15"/>
  <c r="L272" i="15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P251" i="15"/>
  <c r="O251" i="15"/>
  <c r="N251" i="15"/>
  <c r="M251" i="15"/>
  <c r="L251" i="15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N221" i="15"/>
  <c r="M221" i="15"/>
  <c r="L221" i="15"/>
  <c r="O221" i="15" s="1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M148" i="15" s="1"/>
  <c r="M148" i="1" s="1"/>
  <c r="L146" i="15"/>
  <c r="L145" i="15"/>
  <c r="N144" i="15"/>
  <c r="M144" i="15"/>
  <c r="O143" i="15"/>
  <c r="P141" i="15"/>
  <c r="N141" i="15"/>
  <c r="M141" i="15"/>
  <c r="L141" i="15"/>
  <c r="O141" i="15" s="1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M120" i="15" s="1"/>
  <c r="O121" i="15"/>
  <c r="N119" i="15"/>
  <c r="M119" i="15"/>
  <c r="P119" i="15" s="1"/>
  <c r="L119" i="15"/>
  <c r="O119" i="15" s="1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L100" i="15"/>
  <c r="L99" i="15"/>
  <c r="N98" i="15"/>
  <c r="M98" i="15"/>
  <c r="O97" i="15"/>
  <c r="P95" i="15"/>
  <c r="O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L72" i="15"/>
  <c r="L71" i="15"/>
  <c r="N70" i="15"/>
  <c r="M70" i="15"/>
  <c r="M68" i="15" s="1"/>
  <c r="O69" i="15"/>
  <c r="P67" i="15"/>
  <c r="N67" i="15"/>
  <c r="M67" i="15"/>
  <c r="L67" i="15"/>
  <c r="O67" i="15" s="1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O54" i="15"/>
  <c r="N54" i="15"/>
  <c r="M54" i="15"/>
  <c r="P54" i="15" s="1"/>
  <c r="L54" i="15"/>
  <c r="N49" i="15"/>
  <c r="L49" i="15"/>
  <c r="O49" i="15" s="1"/>
  <c r="L47" i="15"/>
  <c r="L46" i="15"/>
  <c r="N45" i="15"/>
  <c r="M45" i="15"/>
  <c r="M43" i="15" s="1"/>
  <c r="P42" i="15"/>
  <c r="N42" i="15"/>
  <c r="M42" i="15"/>
  <c r="L42" i="15"/>
  <c r="O42" i="15" s="1"/>
  <c r="P36" i="15"/>
  <c r="O36" i="15"/>
  <c r="P35" i="15"/>
  <c r="O35" i="15"/>
  <c r="M34" i="15"/>
  <c r="P33" i="15"/>
  <c r="M33" i="15"/>
  <c r="P32" i="15"/>
  <c r="M32" i="15"/>
  <c r="M31" i="15"/>
  <c r="P31" i="15" s="1"/>
  <c r="M30" i="15"/>
  <c r="P30" i="15" s="1"/>
  <c r="N25" i="15"/>
  <c r="N19" i="15" s="1"/>
  <c r="M25" i="15"/>
  <c r="L25" i="15"/>
  <c r="O25" i="15" s="1"/>
  <c r="P24" i="15"/>
  <c r="N24" i="15"/>
  <c r="M24" i="15"/>
  <c r="P23" i="15"/>
  <c r="N23" i="15"/>
  <c r="M23" i="15"/>
  <c r="O21" i="15"/>
  <c r="N21" i="15"/>
  <c r="M21" i="15"/>
  <c r="L21" i="15"/>
  <c r="O19" i="15"/>
  <c r="L19" i="15"/>
  <c r="N15" i="15"/>
  <c r="L15" i="15"/>
  <c r="O15" i="15" s="1"/>
  <c r="P13" i="15"/>
  <c r="M13" i="15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3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3" i="14"/>
  <c r="J562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M312" i="14" s="1"/>
  <c r="O313" i="14"/>
  <c r="P311" i="14"/>
  <c r="N311" i="14"/>
  <c r="M311" i="14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O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P251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N221" i="14"/>
  <c r="M221" i="14"/>
  <c r="P221" i="14" s="1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P141" i="14"/>
  <c r="O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P119" i="14"/>
  <c r="O119" i="14"/>
  <c r="N119" i="14"/>
  <c r="M119" i="14"/>
  <c r="L119" i="14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M102" i="14" s="1"/>
  <c r="L100" i="14"/>
  <c r="L99" i="14"/>
  <c r="N98" i="14"/>
  <c r="M98" i="14"/>
  <c r="O97" i="14"/>
  <c r="P95" i="14"/>
  <c r="N95" i="14"/>
  <c r="M95" i="14"/>
  <c r="L95" i="14"/>
  <c r="O95" i="14" s="1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P70" i="14" s="1"/>
  <c r="O69" i="14"/>
  <c r="O67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P54" i="14"/>
  <c r="O54" i="14"/>
  <c r="N54" i="14"/>
  <c r="M54" i="14"/>
  <c r="L54" i="14"/>
  <c r="N49" i="14"/>
  <c r="L49" i="14"/>
  <c r="L47" i="14"/>
  <c r="L46" i="14"/>
  <c r="N45" i="14"/>
  <c r="M45" i="14"/>
  <c r="M43" i="14" s="1"/>
  <c r="P42" i="14"/>
  <c r="O42" i="14"/>
  <c r="N42" i="14"/>
  <c r="M42" i="14"/>
  <c r="L42" i="14"/>
  <c r="P36" i="14"/>
  <c r="O36" i="14"/>
  <c r="P35" i="14"/>
  <c r="O35" i="14"/>
  <c r="M34" i="14"/>
  <c r="P34" i="14" s="1"/>
  <c r="M33" i="14"/>
  <c r="P33" i="14" s="1"/>
  <c r="M32" i="14"/>
  <c r="M30" i="14" s="1"/>
  <c r="P30" i="14" s="1"/>
  <c r="M31" i="14"/>
  <c r="P31" i="14" s="1"/>
  <c r="P25" i="14"/>
  <c r="N25" i="14"/>
  <c r="N15" i="14" s="1"/>
  <c r="M25" i="14"/>
  <c r="L25" i="14"/>
  <c r="O25" i="14" s="1"/>
  <c r="N24" i="14"/>
  <c r="M24" i="14"/>
  <c r="P24" i="14" s="1"/>
  <c r="P23" i="14"/>
  <c r="N23" i="14"/>
  <c r="M23" i="14"/>
  <c r="P21" i="14"/>
  <c r="N21" i="14"/>
  <c r="M21" i="14"/>
  <c r="L21" i="14"/>
  <c r="O21" i="14" s="1"/>
  <c r="M19" i="14"/>
  <c r="P19" i="14" s="1"/>
  <c r="M15" i="14"/>
  <c r="P15" i="14" s="1"/>
  <c r="M11" i="14"/>
  <c r="M9" i="14" s="1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6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3" i="13"/>
  <c r="J562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L335" i="13"/>
  <c r="L334" i="13"/>
  <c r="N333" i="13"/>
  <c r="M333" i="13"/>
  <c r="O332" i="13"/>
  <c r="P330" i="13"/>
  <c r="N330" i="13"/>
  <c r="M330" i="13"/>
  <c r="L330" i="13"/>
  <c r="O330" i="13" s="1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P314" i="13" s="1"/>
  <c r="O313" i="13"/>
  <c r="N311" i="13"/>
  <c r="M311" i="13"/>
  <c r="P311" i="13" s="1"/>
  <c r="L311" i="13"/>
  <c r="O311" i="13" s="1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O291" i="13"/>
  <c r="N291" i="13"/>
  <c r="M291" i="13"/>
  <c r="P291" i="13" s="1"/>
  <c r="L291" i="13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N272" i="13"/>
  <c r="M272" i="13"/>
  <c r="P272" i="13" s="1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P251" i="13"/>
  <c r="N251" i="13"/>
  <c r="M251" i="13"/>
  <c r="L251" i="13"/>
  <c r="O251" i="13" s="1"/>
  <c r="J249" i="13"/>
  <c r="I249" i="13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O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N141" i="13"/>
  <c r="M141" i="13"/>
  <c r="L141" i="13"/>
  <c r="O141" i="13" s="1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N119" i="13"/>
  <c r="M119" i="13"/>
  <c r="P119" i="13" s="1"/>
  <c r="L119" i="13"/>
  <c r="O119" i="13" s="1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O97" i="13"/>
  <c r="P95" i="13"/>
  <c r="N95" i="13"/>
  <c r="M95" i="13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O67" i="13"/>
  <c r="N67" i="13"/>
  <c r="M67" i="13"/>
  <c r="P67" i="13" s="1"/>
  <c r="L67" i="13"/>
  <c r="J65" i="13"/>
  <c r="I65" i="13"/>
  <c r="K65" i="13" s="1"/>
  <c r="J64" i="13"/>
  <c r="I64" i="13"/>
  <c r="K64" i="13" s="1"/>
  <c r="N61" i="13"/>
  <c r="L61" i="13"/>
  <c r="L59" i="13"/>
  <c r="L58" i="13"/>
  <c r="N57" i="13"/>
  <c r="M57" i="13"/>
  <c r="M55" i="13" s="1"/>
  <c r="M53" i="13" s="1"/>
  <c r="P54" i="13"/>
  <c r="N54" i="13"/>
  <c r="M54" i="13"/>
  <c r="L54" i="13"/>
  <c r="O54" i="13" s="1"/>
  <c r="N49" i="13"/>
  <c r="L49" i="13"/>
  <c r="O49" i="13" s="1"/>
  <c r="L47" i="13"/>
  <c r="L46" i="13"/>
  <c r="N45" i="13"/>
  <c r="M45" i="13"/>
  <c r="O42" i="13"/>
  <c r="N42" i="13"/>
  <c r="M42" i="13"/>
  <c r="P42" i="13" s="1"/>
  <c r="L42" i="13"/>
  <c r="P36" i="13"/>
  <c r="O36" i="13"/>
  <c r="P35" i="13"/>
  <c r="O35" i="13"/>
  <c r="M34" i="13"/>
  <c r="P34" i="13" s="1"/>
  <c r="M33" i="13"/>
  <c r="P33" i="13" s="1"/>
  <c r="P32" i="13"/>
  <c r="M32" i="13"/>
  <c r="M31" i="13"/>
  <c r="P31" i="13" s="1"/>
  <c r="P30" i="13"/>
  <c r="M30" i="13"/>
  <c r="M29" i="13"/>
  <c r="N25" i="13"/>
  <c r="N15" i="13" s="1"/>
  <c r="M25" i="13"/>
  <c r="P25" i="13" s="1"/>
  <c r="L25" i="13"/>
  <c r="O25" i="13" s="1"/>
  <c r="N24" i="13"/>
  <c r="M24" i="13"/>
  <c r="P24" i="13" s="1"/>
  <c r="P23" i="13"/>
  <c r="N23" i="13"/>
  <c r="M23" i="13"/>
  <c r="N21" i="13"/>
  <c r="M21" i="13"/>
  <c r="M19" i="13" s="1"/>
  <c r="L21" i="13"/>
  <c r="O21" i="13" s="1"/>
  <c r="P19" i="13"/>
  <c r="N19" i="13"/>
  <c r="M15" i="13"/>
  <c r="P14" i="13"/>
  <c r="M14" i="13"/>
  <c r="M13" i="13"/>
  <c r="P13" i="13" s="1"/>
  <c r="M11" i="13"/>
  <c r="P11" i="13" s="1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3" i="12"/>
  <c r="J562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M337" i="12" s="1"/>
  <c r="L335" i="12"/>
  <c r="L334" i="12"/>
  <c r="N333" i="12"/>
  <c r="M333" i="12"/>
  <c r="O332" i="12"/>
  <c r="P330" i="12"/>
  <c r="N330" i="12"/>
  <c r="M330" i="12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L316" i="12"/>
  <c r="L315" i="12"/>
  <c r="N314" i="12"/>
  <c r="M314" i="12"/>
  <c r="P314" i="12" s="1"/>
  <c r="O313" i="12"/>
  <c r="P311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M292" i="12" s="1"/>
  <c r="P292" i="12" s="1"/>
  <c r="O293" i="12"/>
  <c r="O291" i="12"/>
  <c r="N291" i="12"/>
  <c r="M291" i="12"/>
  <c r="P291" i="12" s="1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O272" i="12"/>
  <c r="N272" i="12"/>
  <c r="M272" i="12"/>
  <c r="L272" i="12"/>
  <c r="J270" i="12"/>
  <c r="I270" i="12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P251" i="12"/>
  <c r="N251" i="12"/>
  <c r="M251" i="12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P221" i="12"/>
  <c r="O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N141" i="12"/>
  <c r="M141" i="12"/>
  <c r="L141" i="12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O121" i="12"/>
  <c r="N119" i="12"/>
  <c r="M119" i="12"/>
  <c r="L119" i="12"/>
  <c r="O119" i="12" s="1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P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M74" i="12" s="1"/>
  <c r="L72" i="12"/>
  <c r="L71" i="12"/>
  <c r="N70" i="12"/>
  <c r="M70" i="12"/>
  <c r="P70" i="12" s="1"/>
  <c r="O69" i="12"/>
  <c r="O67" i="12"/>
  <c r="N67" i="12"/>
  <c r="M67" i="12"/>
  <c r="P67" i="12" s="1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N54" i="12"/>
  <c r="M54" i="12"/>
  <c r="P54" i="12" s="1"/>
  <c r="L54" i="12"/>
  <c r="O54" i="12" s="1"/>
  <c r="N49" i="12"/>
  <c r="L49" i="12"/>
  <c r="M49" i="12" s="1"/>
  <c r="L47" i="12"/>
  <c r="L46" i="12"/>
  <c r="N45" i="12"/>
  <c r="M45" i="12"/>
  <c r="P42" i="12"/>
  <c r="O42" i="12"/>
  <c r="N42" i="12"/>
  <c r="M42" i="12"/>
  <c r="L42" i="12"/>
  <c r="P36" i="12"/>
  <c r="O36" i="12"/>
  <c r="P35" i="12"/>
  <c r="O35" i="12"/>
  <c r="P34" i="12"/>
  <c r="M34" i="12"/>
  <c r="P33" i="12"/>
  <c r="M33" i="12"/>
  <c r="M32" i="12"/>
  <c r="M30" i="12" s="1"/>
  <c r="P30" i="12" s="1"/>
  <c r="P31" i="12"/>
  <c r="M31" i="12"/>
  <c r="M29" i="12"/>
  <c r="P25" i="12"/>
  <c r="N25" i="12"/>
  <c r="M25" i="12"/>
  <c r="L25" i="12"/>
  <c r="P24" i="12"/>
  <c r="N24" i="12"/>
  <c r="M24" i="12"/>
  <c r="N23" i="12"/>
  <c r="M23" i="12"/>
  <c r="P23" i="12" s="1"/>
  <c r="P21" i="12"/>
  <c r="O21" i="12"/>
  <c r="N21" i="12"/>
  <c r="N19" i="12" s="1"/>
  <c r="M21" i="12"/>
  <c r="M19" i="12" s="1"/>
  <c r="L21" i="12"/>
  <c r="P15" i="12"/>
  <c r="N15" i="12"/>
  <c r="M15" i="12"/>
  <c r="M14" i="12"/>
  <c r="P14" i="12" s="1"/>
  <c r="M11" i="12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2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3" i="11"/>
  <c r="J562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N535" i="11"/>
  <c r="L535" i="11"/>
  <c r="N534" i="11"/>
  <c r="L534" i="1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N337" i="11"/>
  <c r="L337" i="11"/>
  <c r="M337" i="11" s="1"/>
  <c r="L335" i="11"/>
  <c r="L334" i="11"/>
  <c r="N333" i="11"/>
  <c r="M333" i="11"/>
  <c r="O332" i="11"/>
  <c r="N330" i="11"/>
  <c r="M330" i="11"/>
  <c r="P330" i="11" s="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P311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M292" i="11" s="1"/>
  <c r="O293" i="11"/>
  <c r="P291" i="11"/>
  <c r="N291" i="11"/>
  <c r="M291" i="11"/>
  <c r="L291" i="11"/>
  <c r="O291" i="11" s="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O272" i="11"/>
  <c r="N272" i="11"/>
  <c r="M272" i="11"/>
  <c r="P272" i="11" s="1"/>
  <c r="L272" i="1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P251" i="11"/>
  <c r="N251" i="11"/>
  <c r="M251" i="11"/>
  <c r="L251" i="11"/>
  <c r="O251" i="11" s="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N141" i="11"/>
  <c r="M141" i="11"/>
  <c r="L141" i="11"/>
  <c r="O141" i="11" s="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O119" i="11"/>
  <c r="N119" i="11"/>
  <c r="M119" i="11"/>
  <c r="P119" i="11" s="1"/>
  <c r="L119" i="1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L100" i="11"/>
  <c r="L99" i="11"/>
  <c r="N98" i="11"/>
  <c r="M98" i="11"/>
  <c r="O97" i="11"/>
  <c r="P95" i="11"/>
  <c r="N95" i="11"/>
  <c r="M95" i="1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O69" i="11"/>
  <c r="O67" i="11"/>
  <c r="N67" i="11"/>
  <c r="M67" i="11"/>
  <c r="P67" i="11" s="1"/>
  <c r="L67" i="11"/>
  <c r="J65" i="11"/>
  <c r="I65" i="11"/>
  <c r="J64" i="11"/>
  <c r="I64" i="11"/>
  <c r="N61" i="11"/>
  <c r="L61" i="11"/>
  <c r="O61" i="11" s="1"/>
  <c r="L59" i="11"/>
  <c r="L58" i="11"/>
  <c r="N57" i="11"/>
  <c r="M57" i="11"/>
  <c r="P54" i="11"/>
  <c r="N54" i="11"/>
  <c r="M54" i="11"/>
  <c r="L54" i="11"/>
  <c r="O54" i="11" s="1"/>
  <c r="N49" i="11"/>
  <c r="L49" i="11"/>
  <c r="L47" i="11"/>
  <c r="L46" i="11"/>
  <c r="N45" i="11"/>
  <c r="M45" i="11"/>
  <c r="O42" i="11"/>
  <c r="N42" i="11"/>
  <c r="M42" i="11"/>
  <c r="P42" i="11" s="1"/>
  <c r="L42" i="11"/>
  <c r="P36" i="11"/>
  <c r="O36" i="11"/>
  <c r="P35" i="11"/>
  <c r="O35" i="11"/>
  <c r="P34" i="11"/>
  <c r="M34" i="11"/>
  <c r="M33" i="11"/>
  <c r="P33" i="11" s="1"/>
  <c r="M32" i="11"/>
  <c r="P32" i="11" s="1"/>
  <c r="P31" i="11"/>
  <c r="M31" i="11"/>
  <c r="P30" i="11"/>
  <c r="M30" i="11"/>
  <c r="M29" i="11"/>
  <c r="P25" i="11"/>
  <c r="N25" i="11"/>
  <c r="M25" i="11"/>
  <c r="L25" i="11"/>
  <c r="N24" i="11"/>
  <c r="M24" i="11"/>
  <c r="P24" i="11" s="1"/>
  <c r="N23" i="11"/>
  <c r="M23" i="11"/>
  <c r="P23" i="11" s="1"/>
  <c r="P21" i="11"/>
  <c r="N21" i="11"/>
  <c r="M21" i="11"/>
  <c r="M19" i="11" s="1"/>
  <c r="L21" i="11"/>
  <c r="O21" i="11" s="1"/>
  <c r="N19" i="11"/>
  <c r="N15" i="11"/>
  <c r="M15" i="11"/>
  <c r="P15" i="11" s="1"/>
  <c r="P13" i="11"/>
  <c r="M13" i="11"/>
  <c r="M11" i="11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3" i="10"/>
  <c r="J562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O552" i="10" s="1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K371" i="10" s="1"/>
  <c r="J370" i="10"/>
  <c r="I370" i="10"/>
  <c r="K370" i="10" s="1"/>
  <c r="J369" i="10"/>
  <c r="I369" i="10"/>
  <c r="K369" i="10" s="1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N352" i="10"/>
  <c r="L352" i="10"/>
  <c r="N351" i="10"/>
  <c r="L351" i="10"/>
  <c r="O351" i="10" s="1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M337" i="10" s="1"/>
  <c r="L335" i="10"/>
  <c r="L334" i="10"/>
  <c r="N333" i="10"/>
  <c r="M333" i="10"/>
  <c r="O332" i="10"/>
  <c r="O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M312" i="10" s="1"/>
  <c r="O313" i="10"/>
  <c r="P311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O272" i="10"/>
  <c r="N272" i="10"/>
  <c r="M272" i="10"/>
  <c r="P272" i="10" s="1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N251" i="10"/>
  <c r="M251" i="10"/>
  <c r="P251" i="10" s="1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L226" i="10"/>
  <c r="L225" i="10"/>
  <c r="N224" i="10"/>
  <c r="M224" i="10"/>
  <c r="M222" i="10" s="1"/>
  <c r="M220" i="10" s="1"/>
  <c r="P220" i="10" s="1"/>
  <c r="O223" i="10"/>
  <c r="P221" i="10"/>
  <c r="O221" i="10"/>
  <c r="N221" i="10"/>
  <c r="M221" i="10"/>
  <c r="L221" i="10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N141" i="10"/>
  <c r="M141" i="10"/>
  <c r="P141" i="10" s="1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N119" i="10"/>
  <c r="M119" i="10"/>
  <c r="P119" i="10" s="1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M96" i="10" s="1"/>
  <c r="O97" i="10"/>
  <c r="P95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L72" i="10"/>
  <c r="L71" i="10"/>
  <c r="N70" i="10"/>
  <c r="M70" i="10"/>
  <c r="O69" i="10"/>
  <c r="P67" i="10"/>
  <c r="N67" i="10"/>
  <c r="M67" i="10"/>
  <c r="L67" i="10"/>
  <c r="O67" i="10" s="1"/>
  <c r="J65" i="10"/>
  <c r="I65" i="10"/>
  <c r="J64" i="10"/>
  <c r="I64" i="10"/>
  <c r="N61" i="10"/>
  <c r="L61" i="10"/>
  <c r="O61" i="10" s="1"/>
  <c r="L59" i="10"/>
  <c r="L58" i="10"/>
  <c r="N57" i="10"/>
  <c r="M57" i="10"/>
  <c r="O54" i="10"/>
  <c r="N54" i="10"/>
  <c r="M54" i="10"/>
  <c r="P54" i="10" s="1"/>
  <c r="L54" i="10"/>
  <c r="N49" i="10"/>
  <c r="L49" i="10"/>
  <c r="O49" i="10" s="1"/>
  <c r="L47" i="10"/>
  <c r="L46" i="10"/>
  <c r="N45" i="10"/>
  <c r="M45" i="10"/>
  <c r="P42" i="10"/>
  <c r="N42" i="10"/>
  <c r="M42" i="10"/>
  <c r="L42" i="10"/>
  <c r="O42" i="10" s="1"/>
  <c r="P36" i="10"/>
  <c r="O36" i="10"/>
  <c r="P35" i="10"/>
  <c r="O35" i="10"/>
  <c r="M34" i="10"/>
  <c r="P33" i="10"/>
  <c r="M33" i="10"/>
  <c r="P32" i="10"/>
  <c r="M32" i="10"/>
  <c r="M30" i="10" s="1"/>
  <c r="P30" i="10" s="1"/>
  <c r="M31" i="10"/>
  <c r="M29" i="10" s="1"/>
  <c r="O25" i="10"/>
  <c r="N25" i="10"/>
  <c r="N19" i="10" s="1"/>
  <c r="M25" i="10"/>
  <c r="L25" i="10"/>
  <c r="P24" i="10"/>
  <c r="N24" i="10"/>
  <c r="M24" i="10"/>
  <c r="P23" i="10"/>
  <c r="N23" i="10"/>
  <c r="M23" i="10"/>
  <c r="O21" i="10"/>
  <c r="N21" i="10"/>
  <c r="M21" i="10"/>
  <c r="P21" i="10" s="1"/>
  <c r="L21" i="10"/>
  <c r="L19" i="10"/>
  <c r="O19" i="10" s="1"/>
  <c r="L15" i="10"/>
  <c r="O15" i="10" s="1"/>
  <c r="M13" i="10"/>
  <c r="P13" i="10" s="1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5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3" i="9"/>
  <c r="J562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P330" i="9"/>
  <c r="O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N311" i="9"/>
  <c r="M311" i="9"/>
  <c r="P311" i="9" s="1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M292" i="9" s="1"/>
  <c r="P292" i="9" s="1"/>
  <c r="O293" i="9"/>
  <c r="O291" i="9"/>
  <c r="N291" i="9"/>
  <c r="M291" i="9"/>
  <c r="P291" i="9" s="1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M273" i="9" s="1"/>
  <c r="P273" i="9" s="1"/>
  <c r="O274" i="9"/>
  <c r="N272" i="9"/>
  <c r="M272" i="9"/>
  <c r="P272" i="9" s="1"/>
  <c r="L272" i="9"/>
  <c r="O272" i="9" s="1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N251" i="9"/>
  <c r="M251" i="9"/>
  <c r="P251" i="9" s="1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P221" i="9"/>
  <c r="O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N141" i="9"/>
  <c r="M141" i="9"/>
  <c r="P141" i="9" s="1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M120" i="9" s="1"/>
  <c r="P120" i="9" s="1"/>
  <c r="O121" i="9"/>
  <c r="N119" i="9"/>
  <c r="M119" i="9"/>
  <c r="P119" i="9" s="1"/>
  <c r="L119" i="9"/>
  <c r="O119" i="9" s="1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O97" i="9"/>
  <c r="P95" i="9"/>
  <c r="O95" i="9"/>
  <c r="N95" i="9"/>
  <c r="M95" i="9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P70" i="9" s="1"/>
  <c r="O69" i="9"/>
  <c r="P67" i="9"/>
  <c r="O67" i="9"/>
  <c r="N67" i="9"/>
  <c r="M67" i="9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P54" i="9"/>
  <c r="O54" i="9"/>
  <c r="N54" i="9"/>
  <c r="M54" i="9"/>
  <c r="L54" i="9"/>
  <c r="N49" i="9"/>
  <c r="L49" i="9"/>
  <c r="L47" i="9"/>
  <c r="L46" i="9"/>
  <c r="N45" i="9"/>
  <c r="M45" i="9"/>
  <c r="M43" i="9" s="1"/>
  <c r="M41" i="9" s="1"/>
  <c r="P42" i="9"/>
  <c r="O42" i="9"/>
  <c r="N42" i="9"/>
  <c r="M42" i="9"/>
  <c r="L42" i="9"/>
  <c r="P36" i="9"/>
  <c r="O36" i="9"/>
  <c r="P35" i="9"/>
  <c r="O35" i="9"/>
  <c r="M34" i="9"/>
  <c r="M14" i="9" s="1"/>
  <c r="P14" i="9" s="1"/>
  <c r="P33" i="9"/>
  <c r="M33" i="9"/>
  <c r="M32" i="9"/>
  <c r="P32" i="9" s="1"/>
  <c r="M31" i="9"/>
  <c r="P31" i="9" s="1"/>
  <c r="M29" i="9"/>
  <c r="N25" i="9"/>
  <c r="N15" i="9" s="1"/>
  <c r="M25" i="9"/>
  <c r="M19" i="9" s="1"/>
  <c r="L25" i="9"/>
  <c r="P24" i="9"/>
  <c r="N24" i="9"/>
  <c r="M24" i="9"/>
  <c r="N23" i="9"/>
  <c r="M23" i="9"/>
  <c r="P23" i="9" s="1"/>
  <c r="P21" i="9"/>
  <c r="O21" i="9"/>
  <c r="N21" i="9"/>
  <c r="N19" i="9" s="1"/>
  <c r="M21" i="9"/>
  <c r="L21" i="9"/>
  <c r="M13" i="9"/>
  <c r="P13" i="9" s="1"/>
  <c r="M11" i="9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2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3" i="8"/>
  <c r="J562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J511" i="8"/>
  <c r="I511" i="8"/>
  <c r="K511" i="8" s="1"/>
  <c r="J510" i="8"/>
  <c r="I510" i="8"/>
  <c r="K510" i="8" s="1"/>
  <c r="J509" i="8"/>
  <c r="I509" i="8"/>
  <c r="K509" i="8" s="1"/>
  <c r="J508" i="8"/>
  <c r="I508" i="8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J487" i="8"/>
  <c r="I487" i="8"/>
  <c r="K487" i="8" s="1"/>
  <c r="J486" i="8"/>
  <c r="I486" i="8"/>
  <c r="K486" i="8" s="1"/>
  <c r="J485" i="8"/>
  <c r="I485" i="8"/>
  <c r="K485" i="8" s="1"/>
  <c r="J484" i="8"/>
  <c r="I484" i="8"/>
  <c r="J483" i="8"/>
  <c r="I483" i="8"/>
  <c r="K483" i="8" s="1"/>
  <c r="J482" i="8"/>
  <c r="I482" i="8"/>
  <c r="J481" i="8"/>
  <c r="I481" i="8"/>
  <c r="J480" i="8"/>
  <c r="I480" i="8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I425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M337" i="8" s="1"/>
  <c r="L335" i="8"/>
  <c r="L334" i="8"/>
  <c r="N333" i="8"/>
  <c r="M333" i="8"/>
  <c r="O332" i="8"/>
  <c r="N330" i="8"/>
  <c r="M330" i="8"/>
  <c r="P330" i="8" s="1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P311" i="8"/>
  <c r="N311" i="8"/>
  <c r="M311" i="8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L296" i="8"/>
  <c r="L295" i="8"/>
  <c r="N294" i="8"/>
  <c r="M294" i="8"/>
  <c r="P294" i="8" s="1"/>
  <c r="O293" i="8"/>
  <c r="O291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O272" i="8"/>
  <c r="N272" i="8"/>
  <c r="M272" i="8"/>
  <c r="P272" i="8" s="1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P251" i="8"/>
  <c r="N251" i="8"/>
  <c r="M251" i="8"/>
  <c r="L251" i="8"/>
  <c r="O251" i="8" s="1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O223" i="8"/>
  <c r="N221" i="8"/>
  <c r="M221" i="8"/>
  <c r="P221" i="8" s="1"/>
  <c r="L221" i="8"/>
  <c r="O221" i="8" s="1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N141" i="8"/>
  <c r="M141" i="8"/>
  <c r="L141" i="8"/>
  <c r="O141" i="8" s="1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O119" i="8"/>
  <c r="N119" i="8"/>
  <c r="M119" i="8"/>
  <c r="P119" i="8" s="1"/>
  <c r="L119" i="8"/>
  <c r="J117" i="8"/>
  <c r="I117" i="8"/>
  <c r="J115" i="8"/>
  <c r="J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J106" i="8"/>
  <c r="J105" i="8"/>
  <c r="J104" i="8"/>
  <c r="N102" i="8"/>
  <c r="L102" i="8"/>
  <c r="L100" i="8"/>
  <c r="L99" i="8"/>
  <c r="N98" i="8"/>
  <c r="M98" i="8"/>
  <c r="O97" i="8"/>
  <c r="P95" i="8"/>
  <c r="N95" i="8"/>
  <c r="M95" i="8"/>
  <c r="L95" i="8"/>
  <c r="O95" i="8" s="1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O69" i="8"/>
  <c r="O67" i="8"/>
  <c r="N67" i="8"/>
  <c r="M67" i="8"/>
  <c r="P67" i="8" s="1"/>
  <c r="L67" i="8"/>
  <c r="J65" i="8"/>
  <c r="I65" i="8"/>
  <c r="J64" i="8"/>
  <c r="I64" i="8"/>
  <c r="N61" i="8"/>
  <c r="L61" i="8"/>
  <c r="O61" i="8" s="1"/>
  <c r="L59" i="8"/>
  <c r="L58" i="8"/>
  <c r="N57" i="8"/>
  <c r="M57" i="8"/>
  <c r="P54" i="8"/>
  <c r="N54" i="8"/>
  <c r="M54" i="8"/>
  <c r="L54" i="8"/>
  <c r="O54" i="8" s="1"/>
  <c r="N49" i="8"/>
  <c r="L49" i="8"/>
  <c r="L47" i="8"/>
  <c r="L46" i="8"/>
  <c r="N45" i="8"/>
  <c r="M45" i="8"/>
  <c r="O42" i="8"/>
  <c r="N42" i="8"/>
  <c r="M42" i="8"/>
  <c r="P42" i="8" s="1"/>
  <c r="L42" i="8"/>
  <c r="P36" i="8"/>
  <c r="O36" i="8"/>
  <c r="P35" i="8"/>
  <c r="O35" i="8"/>
  <c r="M34" i="8"/>
  <c r="P34" i="8" s="1"/>
  <c r="M33" i="8"/>
  <c r="P33" i="8" s="1"/>
  <c r="P32" i="8"/>
  <c r="M32" i="8"/>
  <c r="M31" i="8"/>
  <c r="P31" i="8" s="1"/>
  <c r="P30" i="8"/>
  <c r="M30" i="8"/>
  <c r="M29" i="8"/>
  <c r="P29" i="8" s="1"/>
  <c r="N25" i="8"/>
  <c r="M25" i="8"/>
  <c r="P25" i="8" s="1"/>
  <c r="L25" i="8"/>
  <c r="O25" i="8" s="1"/>
  <c r="N24" i="8"/>
  <c r="M24" i="8"/>
  <c r="P24" i="8" s="1"/>
  <c r="P23" i="8"/>
  <c r="N23" i="8"/>
  <c r="M23" i="8"/>
  <c r="P21" i="8"/>
  <c r="N21" i="8"/>
  <c r="N19" i="8" s="1"/>
  <c r="M21" i="8"/>
  <c r="M19" i="8" s="1"/>
  <c r="L21" i="8"/>
  <c r="O21" i="8" s="1"/>
  <c r="L19" i="8"/>
  <c r="O19" i="8" s="1"/>
  <c r="N15" i="8"/>
  <c r="M15" i="8"/>
  <c r="P15" i="8" s="1"/>
  <c r="P14" i="8"/>
  <c r="M14" i="8"/>
  <c r="M13" i="8"/>
  <c r="P13" i="8" s="1"/>
  <c r="M11" i="8"/>
  <c r="M9" i="8" s="1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3" i="7"/>
  <c r="J562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J490" i="7"/>
  <c r="I490" i="7"/>
  <c r="K490" i="7" s="1"/>
  <c r="J489" i="7"/>
  <c r="I489" i="7"/>
  <c r="K489" i="7" s="1"/>
  <c r="J488" i="7"/>
  <c r="I488" i="7"/>
  <c r="K488" i="7" s="1"/>
  <c r="J487" i="7"/>
  <c r="I487" i="7"/>
  <c r="J486" i="7"/>
  <c r="I486" i="7"/>
  <c r="K486" i="7" s="1"/>
  <c r="J485" i="7"/>
  <c r="I485" i="7"/>
  <c r="K485" i="7" s="1"/>
  <c r="J484" i="7"/>
  <c r="I484" i="7"/>
  <c r="K484" i="7" s="1"/>
  <c r="J483" i="7"/>
  <c r="I483" i="7"/>
  <c r="J482" i="7"/>
  <c r="I482" i="7"/>
  <c r="J481" i="7"/>
  <c r="I481" i="7"/>
  <c r="J480" i="7"/>
  <c r="I480" i="7"/>
  <c r="K480" i="7" s="1"/>
  <c r="J479" i="7"/>
  <c r="I479" i="7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N330" i="7"/>
  <c r="M330" i="7"/>
  <c r="P330" i="7" s="1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O311" i="7"/>
  <c r="N311" i="7"/>
  <c r="M311" i="7"/>
  <c r="P311" i="7" s="1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N291" i="7"/>
  <c r="M291" i="7"/>
  <c r="P291" i="7" s="1"/>
  <c r="L291" i="7"/>
  <c r="O291" i="7" s="1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M271" i="7" s="1"/>
  <c r="O274" i="7"/>
  <c r="P272" i="7"/>
  <c r="N272" i="7"/>
  <c r="M272" i="7"/>
  <c r="L272" i="7"/>
  <c r="O272" i="7" s="1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P251" i="7"/>
  <c r="O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N221" i="7"/>
  <c r="M221" i="7"/>
  <c r="P221" i="7" s="1"/>
  <c r="L221" i="7"/>
  <c r="O221" i="7" s="1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L146" i="7"/>
  <c r="L145" i="7"/>
  <c r="N144" i="7"/>
  <c r="M144" i="7"/>
  <c r="M142" i="7" s="1"/>
  <c r="O143" i="7"/>
  <c r="P141" i="7"/>
  <c r="O141" i="7"/>
  <c r="N141" i="7"/>
  <c r="M141" i="7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P119" i="7"/>
  <c r="N119" i="7"/>
  <c r="M119" i="7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P95" i="7"/>
  <c r="O95" i="7"/>
  <c r="N95" i="7"/>
  <c r="M95" i="7"/>
  <c r="L95" i="7"/>
  <c r="J93" i="7"/>
  <c r="I93" i="7"/>
  <c r="J92" i="7"/>
  <c r="I92" i="7"/>
  <c r="J90" i="7"/>
  <c r="J89" i="7"/>
  <c r="J88" i="7"/>
  <c r="I88" i="7"/>
  <c r="K88" i="7" s="1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L72" i="7"/>
  <c r="L71" i="7"/>
  <c r="N70" i="7"/>
  <c r="M70" i="7"/>
  <c r="O69" i="7"/>
  <c r="P67" i="7"/>
  <c r="O67" i="7"/>
  <c r="N67" i="7"/>
  <c r="M67" i="7"/>
  <c r="L67" i="7"/>
  <c r="J65" i="7"/>
  <c r="I65" i="7"/>
  <c r="J64" i="7"/>
  <c r="I64" i="7"/>
  <c r="N61" i="7"/>
  <c r="L61" i="7"/>
  <c r="L59" i="7"/>
  <c r="L58" i="7"/>
  <c r="N57" i="7"/>
  <c r="M57" i="7"/>
  <c r="M55" i="7" s="1"/>
  <c r="N54" i="7"/>
  <c r="M54" i="7"/>
  <c r="L54" i="7"/>
  <c r="O54" i="7" s="1"/>
  <c r="N49" i="7"/>
  <c r="L49" i="7"/>
  <c r="M49" i="7" s="1"/>
  <c r="L47" i="7"/>
  <c r="L46" i="7"/>
  <c r="N45" i="7"/>
  <c r="M45" i="7"/>
  <c r="P42" i="7"/>
  <c r="N42" i="7"/>
  <c r="M42" i="7"/>
  <c r="L42" i="7"/>
  <c r="O42" i="7" s="1"/>
  <c r="P36" i="7"/>
  <c r="O36" i="7"/>
  <c r="P35" i="7"/>
  <c r="O35" i="7"/>
  <c r="P34" i="7"/>
  <c r="M34" i="7"/>
  <c r="P33" i="7"/>
  <c r="M33" i="7"/>
  <c r="M32" i="7"/>
  <c r="M31" i="7"/>
  <c r="P31" i="7" s="1"/>
  <c r="P29" i="7"/>
  <c r="M29" i="7"/>
  <c r="P25" i="7"/>
  <c r="O25" i="7"/>
  <c r="N25" i="7"/>
  <c r="M25" i="7"/>
  <c r="L25" i="7"/>
  <c r="P24" i="7"/>
  <c r="N24" i="7"/>
  <c r="M24" i="7"/>
  <c r="N23" i="7"/>
  <c r="M23" i="7"/>
  <c r="P21" i="7"/>
  <c r="O21" i="7"/>
  <c r="N21" i="7"/>
  <c r="M21" i="7"/>
  <c r="L21" i="7"/>
  <c r="L19" i="7" s="1"/>
  <c r="N19" i="7"/>
  <c r="M19" i="7"/>
  <c r="P19" i="7" s="1"/>
  <c r="P15" i="7"/>
  <c r="N15" i="7"/>
  <c r="M15" i="7"/>
  <c r="L15" i="7"/>
  <c r="O15" i="7" s="1"/>
  <c r="M14" i="7"/>
  <c r="P14" i="7" s="1"/>
  <c r="P11" i="7"/>
  <c r="M11" i="7"/>
  <c r="M9" i="7" s="1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2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3" i="6"/>
  <c r="J562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N553" i="6"/>
  <c r="L553" i="6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N455" i="6"/>
  <c r="L455" i="6"/>
  <c r="J455" i="6"/>
  <c r="I455" i="6"/>
  <c r="J454" i="6"/>
  <c r="J453" i="6"/>
  <c r="J452" i="6"/>
  <c r="I452" i="6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N383" i="6"/>
  <c r="L383" i="6"/>
  <c r="N382" i="6"/>
  <c r="L382" i="6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M337" i="6" s="1"/>
  <c r="L335" i="6"/>
  <c r="L334" i="6"/>
  <c r="N333" i="6"/>
  <c r="M333" i="6"/>
  <c r="O332" i="6"/>
  <c r="P330" i="6"/>
  <c r="N330" i="6"/>
  <c r="M330" i="6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P311" i="6"/>
  <c r="O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P291" i="6"/>
  <c r="O291" i="6"/>
  <c r="N291" i="6"/>
  <c r="M291" i="6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P272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P251" i="6"/>
  <c r="O251" i="6"/>
  <c r="N251" i="6"/>
  <c r="M251" i="6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N221" i="6"/>
  <c r="M221" i="6"/>
  <c r="P221" i="6" s="1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P141" i="6"/>
  <c r="O141" i="6"/>
  <c r="N141" i="6"/>
  <c r="M141" i="6"/>
  <c r="L141" i="6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P119" i="6"/>
  <c r="O119" i="6"/>
  <c r="N119" i="6"/>
  <c r="M119" i="6"/>
  <c r="L119" i="6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M102" i="6" s="1"/>
  <c r="L100" i="6"/>
  <c r="L99" i="6"/>
  <c r="N98" i="6"/>
  <c r="M98" i="6"/>
  <c r="O97" i="6"/>
  <c r="P95" i="6"/>
  <c r="O95" i="6"/>
  <c r="N95" i="6"/>
  <c r="M95" i="6"/>
  <c r="L95" i="6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O69" i="6"/>
  <c r="P67" i="6"/>
  <c r="O67" i="6"/>
  <c r="N67" i="6"/>
  <c r="M67" i="6"/>
  <c r="L67" i="6"/>
  <c r="J65" i="6"/>
  <c r="I65" i="6"/>
  <c r="J64" i="6"/>
  <c r="I64" i="6"/>
  <c r="N61" i="6"/>
  <c r="L61" i="6"/>
  <c r="O61" i="6" s="1"/>
  <c r="L59" i="6"/>
  <c r="L58" i="6"/>
  <c r="N57" i="6"/>
  <c r="M57" i="6"/>
  <c r="P54" i="6"/>
  <c r="O54" i="6"/>
  <c r="N54" i="6"/>
  <c r="M54" i="6"/>
  <c r="L54" i="6"/>
  <c r="N49" i="6"/>
  <c r="L49" i="6"/>
  <c r="L47" i="6"/>
  <c r="L46" i="6"/>
  <c r="N45" i="6"/>
  <c r="M45" i="6"/>
  <c r="M43" i="6" s="1"/>
  <c r="M41" i="6" s="1"/>
  <c r="P42" i="6"/>
  <c r="O42" i="6"/>
  <c r="N42" i="6"/>
  <c r="M42" i="6"/>
  <c r="L42" i="6"/>
  <c r="P36" i="6"/>
  <c r="O36" i="6"/>
  <c r="P35" i="6"/>
  <c r="O35" i="6"/>
  <c r="P34" i="6"/>
  <c r="M34" i="6"/>
  <c r="P33" i="6"/>
  <c r="M33" i="6"/>
  <c r="M32" i="6"/>
  <c r="P31" i="6"/>
  <c r="M31" i="6"/>
  <c r="M29" i="6"/>
  <c r="P29" i="6" s="1"/>
  <c r="P25" i="6"/>
  <c r="N25" i="6"/>
  <c r="M25" i="6"/>
  <c r="L25" i="6"/>
  <c r="O25" i="6" s="1"/>
  <c r="P24" i="6"/>
  <c r="N24" i="6"/>
  <c r="M24" i="6"/>
  <c r="N23" i="6"/>
  <c r="M23" i="6"/>
  <c r="P21" i="6"/>
  <c r="N21" i="6"/>
  <c r="M21" i="6"/>
  <c r="M19" i="6" s="1"/>
  <c r="L21" i="6"/>
  <c r="L19" i="6" s="1"/>
  <c r="N19" i="6"/>
  <c r="P15" i="6"/>
  <c r="N15" i="6"/>
  <c r="M15" i="6"/>
  <c r="M14" i="6"/>
  <c r="P14" i="6" s="1"/>
  <c r="M11" i="6"/>
  <c r="P11" i="6" s="1"/>
  <c r="J635" i="5"/>
  <c r="I635" i="5"/>
  <c r="J634" i="5"/>
  <c r="I634" i="5"/>
  <c r="J633" i="5"/>
  <c r="I633" i="5"/>
  <c r="K633" i="5" s="1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2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3" i="5"/>
  <c r="J562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O330" i="5"/>
  <c r="N330" i="5"/>
  <c r="M330" i="5"/>
  <c r="P330" i="5" s="1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L316" i="5"/>
  <c r="L315" i="5"/>
  <c r="N314" i="5"/>
  <c r="M314" i="5"/>
  <c r="P314" i="5" s="1"/>
  <c r="O313" i="5"/>
  <c r="N311" i="5"/>
  <c r="M311" i="5"/>
  <c r="L311" i="5"/>
  <c r="O311" i="5" s="1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L296" i="5"/>
  <c r="L295" i="5"/>
  <c r="N294" i="5"/>
  <c r="M294" i="5"/>
  <c r="P294" i="5" s="1"/>
  <c r="O293" i="5"/>
  <c r="N291" i="5"/>
  <c r="M291" i="5"/>
  <c r="P291" i="5" s="1"/>
  <c r="L291" i="5"/>
  <c r="O291" i="5" s="1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M273" i="5" s="1"/>
  <c r="O274" i="5"/>
  <c r="P272" i="5"/>
  <c r="N272" i="5"/>
  <c r="M272" i="5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M252" i="5" s="1"/>
  <c r="O253" i="5"/>
  <c r="P251" i="5"/>
  <c r="O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P221" i="5"/>
  <c r="N221" i="5"/>
  <c r="M221" i="5"/>
  <c r="L221" i="5"/>
  <c r="O221" i="5" s="1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P141" i="5"/>
  <c r="O141" i="5"/>
  <c r="N141" i="5"/>
  <c r="M141" i="5"/>
  <c r="L141" i="5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P119" i="5"/>
  <c r="N119" i="5"/>
  <c r="M119" i="5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P95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P70" i="5" s="1"/>
  <c r="O69" i="5"/>
  <c r="N67" i="5"/>
  <c r="M67" i="5"/>
  <c r="P67" i="5" s="1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P54" i="5"/>
  <c r="N54" i="5"/>
  <c r="M54" i="5"/>
  <c r="L54" i="5"/>
  <c r="O54" i="5" s="1"/>
  <c r="N49" i="5"/>
  <c r="L49" i="5"/>
  <c r="O49" i="5" s="1"/>
  <c r="L47" i="5"/>
  <c r="L46" i="5"/>
  <c r="N45" i="5"/>
  <c r="M45" i="5"/>
  <c r="N42" i="5"/>
  <c r="M42" i="5"/>
  <c r="P42" i="5" s="1"/>
  <c r="L42" i="5"/>
  <c r="P36" i="5"/>
  <c r="O36" i="5"/>
  <c r="P35" i="5"/>
  <c r="O35" i="5"/>
  <c r="P34" i="5"/>
  <c r="M34" i="5"/>
  <c r="M33" i="5"/>
  <c r="P33" i="5" s="1"/>
  <c r="M32" i="5"/>
  <c r="P32" i="5" s="1"/>
  <c r="P31" i="5"/>
  <c r="M31" i="5"/>
  <c r="P30" i="5"/>
  <c r="M30" i="5"/>
  <c r="P29" i="5"/>
  <c r="M29" i="5"/>
  <c r="M28" i="5"/>
  <c r="P28" i="5" s="1"/>
  <c r="P25" i="5"/>
  <c r="O25" i="5"/>
  <c r="N25" i="5"/>
  <c r="M25" i="5"/>
  <c r="L25" i="5"/>
  <c r="N24" i="5"/>
  <c r="M24" i="5"/>
  <c r="P24" i="5" s="1"/>
  <c r="N23" i="5"/>
  <c r="M23" i="5"/>
  <c r="P23" i="5" s="1"/>
  <c r="P21" i="5"/>
  <c r="N21" i="5"/>
  <c r="M21" i="5"/>
  <c r="L21" i="5"/>
  <c r="O21" i="5" s="1"/>
  <c r="N19" i="5"/>
  <c r="M19" i="5"/>
  <c r="N15" i="5"/>
  <c r="M15" i="5"/>
  <c r="P15" i="5" s="1"/>
  <c r="L15" i="5"/>
  <c r="O15" i="5" s="1"/>
  <c r="P13" i="5"/>
  <c r="M13" i="5"/>
  <c r="P11" i="5"/>
  <c r="M11" i="5"/>
  <c r="M9" i="5" s="1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N566" i="4"/>
  <c r="L566" i="4"/>
  <c r="N565" i="4"/>
  <c r="L565" i="4"/>
  <c r="O565" i="4" s="1"/>
  <c r="N564" i="4"/>
  <c r="L564" i="4"/>
  <c r="J564" i="4"/>
  <c r="I564" i="4"/>
  <c r="J563" i="4"/>
  <c r="J562" i="4"/>
  <c r="J561" i="4"/>
  <c r="I561" i="4"/>
  <c r="J560" i="4"/>
  <c r="I560" i="4"/>
  <c r="N559" i="4"/>
  <c r="N558" i="4"/>
  <c r="N557" i="4"/>
  <c r="N556" i="4"/>
  <c r="N555" i="4"/>
  <c r="L555" i="4"/>
  <c r="N554" i="4"/>
  <c r="L554" i="4"/>
  <c r="O554" i="4" s="1"/>
  <c r="N553" i="4"/>
  <c r="L553" i="4"/>
  <c r="N552" i="4"/>
  <c r="L552" i="4"/>
  <c r="O552" i="4" s="1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J508" i="4"/>
  <c r="I508" i="4"/>
  <c r="K508" i="4" s="1"/>
  <c r="J507" i="4"/>
  <c r="I507" i="4"/>
  <c r="K507" i="4" s="1"/>
  <c r="J506" i="4"/>
  <c r="I506" i="4"/>
  <c r="K506" i="4" s="1"/>
  <c r="J505" i="4"/>
  <c r="I505" i="4"/>
  <c r="J504" i="4"/>
  <c r="I504" i="4"/>
  <c r="K504" i="4" s="1"/>
  <c r="J503" i="4"/>
  <c r="I503" i="4"/>
  <c r="J502" i="4"/>
  <c r="I502" i="4"/>
  <c r="K502" i="4" s="1"/>
  <c r="J501" i="4"/>
  <c r="I501" i="4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N404" i="4"/>
  <c r="L404" i="4"/>
  <c r="N403" i="4"/>
  <c r="L403" i="4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O330" i="4"/>
  <c r="N330" i="4"/>
  <c r="M330" i="4"/>
  <c r="P330" i="4" s="1"/>
  <c r="L330" i="4"/>
  <c r="J328" i="4"/>
  <c r="I328" i="4"/>
  <c r="J326" i="4"/>
  <c r="J325" i="4"/>
  <c r="J324" i="4"/>
  <c r="I324" i="4"/>
  <c r="J323" i="4"/>
  <c r="J322" i="4"/>
  <c r="J321" i="4"/>
  <c r="J320" i="4"/>
  <c r="N318" i="4"/>
  <c r="L318" i="4"/>
  <c r="O318" i="4" s="1"/>
  <c r="L316" i="4"/>
  <c r="L315" i="4"/>
  <c r="N314" i="4"/>
  <c r="M314" i="4"/>
  <c r="M312" i="4" s="1"/>
  <c r="O313" i="4"/>
  <c r="O311" i="4"/>
  <c r="N311" i="4"/>
  <c r="M311" i="4"/>
  <c r="L311" i="4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P291" i="4"/>
  <c r="N291" i="4"/>
  <c r="M291" i="4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O274" i="4"/>
  <c r="N272" i="4"/>
  <c r="M272" i="4"/>
  <c r="P272" i="4" s="1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O253" i="4"/>
  <c r="P251" i="4"/>
  <c r="N251" i="4"/>
  <c r="M251" i="4"/>
  <c r="L251" i="4"/>
  <c r="O251" i="4" s="1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P221" i="4"/>
  <c r="O221" i="4"/>
  <c r="N221" i="4"/>
  <c r="M221" i="4"/>
  <c r="L221" i="4"/>
  <c r="J219" i="4"/>
  <c r="I219" i="4"/>
  <c r="J218" i="4"/>
  <c r="J217" i="4"/>
  <c r="J216" i="4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P141" i="4"/>
  <c r="N141" i="4"/>
  <c r="M141" i="4"/>
  <c r="L141" i="4"/>
  <c r="O141" i="4" s="1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P122" i="4" s="1"/>
  <c r="O121" i="4"/>
  <c r="N119" i="4"/>
  <c r="M119" i="4"/>
  <c r="P119" i="4" s="1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P95" i="4"/>
  <c r="N95" i="4"/>
  <c r="M95" i="4"/>
  <c r="L95" i="4"/>
  <c r="O95" i="4" s="1"/>
  <c r="J93" i="4"/>
  <c r="I93" i="4"/>
  <c r="J92" i="4"/>
  <c r="I92" i="4"/>
  <c r="J90" i="4"/>
  <c r="J89" i="4"/>
  <c r="J88" i="4"/>
  <c r="I88" i="4"/>
  <c r="K88" i="4" s="1"/>
  <c r="J87" i="4"/>
  <c r="I87" i="4"/>
  <c r="J86" i="4"/>
  <c r="I86" i="4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O74" i="4" s="1"/>
  <c r="L72" i="4"/>
  <c r="L71" i="4"/>
  <c r="N70" i="4"/>
  <c r="M70" i="4"/>
  <c r="M68" i="4" s="1"/>
  <c r="O69" i="4"/>
  <c r="N67" i="4"/>
  <c r="M67" i="4"/>
  <c r="P67" i="4" s="1"/>
  <c r="L67" i="4"/>
  <c r="J65" i="4"/>
  <c r="I65" i="4"/>
  <c r="J64" i="4"/>
  <c r="I64" i="4"/>
  <c r="N61" i="4"/>
  <c r="L61" i="4"/>
  <c r="O61" i="4" s="1"/>
  <c r="L59" i="4"/>
  <c r="L58" i="4"/>
  <c r="N57" i="4"/>
  <c r="M57" i="4"/>
  <c r="M55" i="4" s="1"/>
  <c r="M53" i="4" s="1"/>
  <c r="P54" i="4"/>
  <c r="N54" i="4"/>
  <c r="M54" i="4"/>
  <c r="L54" i="4"/>
  <c r="O54" i="4" s="1"/>
  <c r="N49" i="4"/>
  <c r="L49" i="4"/>
  <c r="M49" i="4" s="1"/>
  <c r="L47" i="4"/>
  <c r="L46" i="4"/>
  <c r="N45" i="4"/>
  <c r="M45" i="4"/>
  <c r="P42" i="4"/>
  <c r="O42" i="4"/>
  <c r="N42" i="4"/>
  <c r="M42" i="4"/>
  <c r="L42" i="4"/>
  <c r="P36" i="4"/>
  <c r="O36" i="4"/>
  <c r="P35" i="4"/>
  <c r="O35" i="4"/>
  <c r="P34" i="4"/>
  <c r="M34" i="4"/>
  <c r="P33" i="4"/>
  <c r="M33" i="4"/>
  <c r="P32" i="4"/>
  <c r="M32" i="4"/>
  <c r="P31" i="4"/>
  <c r="M31" i="4"/>
  <c r="M29" i="4" s="1"/>
  <c r="M30" i="4"/>
  <c r="P30" i="4" s="1"/>
  <c r="P25" i="4"/>
  <c r="O25" i="4"/>
  <c r="N25" i="4"/>
  <c r="M25" i="4"/>
  <c r="L25" i="4"/>
  <c r="P24" i="4"/>
  <c r="N24" i="4"/>
  <c r="M24" i="4"/>
  <c r="P23" i="4"/>
  <c r="N23" i="4"/>
  <c r="M23" i="4"/>
  <c r="O21" i="4"/>
  <c r="N21" i="4"/>
  <c r="M21" i="4"/>
  <c r="L21" i="4"/>
  <c r="O19" i="4"/>
  <c r="L19" i="4"/>
  <c r="P15" i="4"/>
  <c r="O15" i="4"/>
  <c r="N15" i="4"/>
  <c r="M15" i="4"/>
  <c r="L15" i="4"/>
  <c r="P14" i="4"/>
  <c r="M14" i="4"/>
  <c r="P13" i="4"/>
  <c r="M13" i="4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N564" i="3"/>
  <c r="L564" i="3"/>
  <c r="J564" i="3"/>
  <c r="I564" i="3"/>
  <c r="J563" i="3"/>
  <c r="J562" i="3"/>
  <c r="J561" i="3"/>
  <c r="I561" i="3"/>
  <c r="K561" i="3" s="1"/>
  <c r="J560" i="3"/>
  <c r="I560" i="3"/>
  <c r="N559" i="3"/>
  <c r="N558" i="3"/>
  <c r="N557" i="3"/>
  <c r="N556" i="3"/>
  <c r="N555" i="3"/>
  <c r="L555" i="3"/>
  <c r="O555" i="3" s="1"/>
  <c r="N554" i="3"/>
  <c r="L554" i="3"/>
  <c r="N553" i="3"/>
  <c r="L553" i="3"/>
  <c r="N552" i="3"/>
  <c r="L552" i="3"/>
  <c r="O552" i="3" s="1"/>
  <c r="N551" i="3"/>
  <c r="L551" i="3"/>
  <c r="O551" i="3" s="1"/>
  <c r="J551" i="3"/>
  <c r="I551" i="3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J513" i="3"/>
  <c r="I513" i="3"/>
  <c r="K513" i="3" s="1"/>
  <c r="J512" i="3"/>
  <c r="I512" i="3"/>
  <c r="K512" i="3" s="1"/>
  <c r="J511" i="3"/>
  <c r="I511" i="3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O332" i="3"/>
  <c r="P330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O311" i="3"/>
  <c r="N311" i="3"/>
  <c r="M311" i="3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M292" i="3" s="1"/>
  <c r="P292" i="3" s="1"/>
  <c r="O293" i="3"/>
  <c r="O291" i="3"/>
  <c r="N291" i="3"/>
  <c r="M291" i="3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O272" i="3"/>
  <c r="N272" i="3"/>
  <c r="M272" i="3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N251" i="3"/>
  <c r="M251" i="3"/>
  <c r="P251" i="3" s="1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O221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P141" i="3"/>
  <c r="N141" i="3"/>
  <c r="M141" i="3"/>
  <c r="L141" i="3"/>
  <c r="O141" i="3" s="1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P120" i="3" s="1"/>
  <c r="O121" i="3"/>
  <c r="O119" i="3"/>
  <c r="N119" i="3"/>
  <c r="M119" i="3"/>
  <c r="P119" i="3" s="1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P95" i="3"/>
  <c r="N95" i="3"/>
  <c r="M95" i="3"/>
  <c r="L95" i="3"/>
  <c r="O95" i="3" s="1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O69" i="3"/>
  <c r="O67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M55" i="3" s="1"/>
  <c r="M53" i="3" s="1"/>
  <c r="P54" i="3"/>
  <c r="N54" i="3"/>
  <c r="M54" i="3"/>
  <c r="L54" i="3"/>
  <c r="O54" i="3" s="1"/>
  <c r="N49" i="3"/>
  <c r="L49" i="3"/>
  <c r="O49" i="3" s="1"/>
  <c r="L47" i="3"/>
  <c r="L46" i="3"/>
  <c r="N45" i="3"/>
  <c r="M45" i="3"/>
  <c r="O42" i="3"/>
  <c r="N42" i="3"/>
  <c r="M42" i="3"/>
  <c r="P42" i="3" s="1"/>
  <c r="L42" i="3"/>
  <c r="P36" i="3"/>
  <c r="O36" i="3"/>
  <c r="P35" i="3"/>
  <c r="O35" i="3"/>
  <c r="M34" i="3"/>
  <c r="P34" i="3" s="1"/>
  <c r="M33" i="3"/>
  <c r="P33" i="3" s="1"/>
  <c r="P32" i="3"/>
  <c r="M32" i="3"/>
  <c r="P31" i="3"/>
  <c r="M31" i="3"/>
  <c r="P30" i="3"/>
  <c r="M30" i="3"/>
  <c r="M29" i="3"/>
  <c r="N25" i="3"/>
  <c r="M25" i="3"/>
  <c r="P25" i="3" s="1"/>
  <c r="L25" i="3"/>
  <c r="N24" i="3"/>
  <c r="M24" i="3"/>
  <c r="P24" i="3" s="1"/>
  <c r="P23" i="3"/>
  <c r="N23" i="3"/>
  <c r="M23" i="3"/>
  <c r="P21" i="3"/>
  <c r="N21" i="3"/>
  <c r="N19" i="3" s="1"/>
  <c r="M21" i="3"/>
  <c r="M19" i="3" s="1"/>
  <c r="L21" i="3"/>
  <c r="O21" i="3" s="1"/>
  <c r="N15" i="3"/>
  <c r="M15" i="3"/>
  <c r="P15" i="3" s="1"/>
  <c r="P13" i="3"/>
  <c r="M13" i="3"/>
  <c r="M11" i="3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3" i="2"/>
  <c r="J562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J512" i="2"/>
  <c r="I512" i="2"/>
  <c r="K512" i="2" s="1"/>
  <c r="J511" i="2"/>
  <c r="I511" i="2"/>
  <c r="K511" i="2" s="1"/>
  <c r="J510" i="2"/>
  <c r="I510" i="2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J503" i="2"/>
  <c r="I503" i="2"/>
  <c r="K503" i="2" s="1"/>
  <c r="J502" i="2"/>
  <c r="I502" i="2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J493" i="2"/>
  <c r="I493" i="2"/>
  <c r="K493" i="2" s="1"/>
  <c r="J492" i="2"/>
  <c r="I492" i="2"/>
  <c r="K492" i="2" s="1"/>
  <c r="J491" i="2"/>
  <c r="I491" i="2"/>
  <c r="K491" i="2" s="1"/>
  <c r="J490" i="2"/>
  <c r="I490" i="2"/>
  <c r="J489" i="2"/>
  <c r="I489" i="2"/>
  <c r="K489" i="2" s="1"/>
  <c r="J488" i="2"/>
  <c r="I488" i="2"/>
  <c r="K488" i="2" s="1"/>
  <c r="J487" i="2"/>
  <c r="I487" i="2"/>
  <c r="K487" i="2" s="1"/>
  <c r="J486" i="2"/>
  <c r="I486" i="2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J370" i="2"/>
  <c r="I370" i="2"/>
  <c r="K370" i="2" s="1"/>
  <c r="J369" i="2"/>
  <c r="I369" i="2"/>
  <c r="K369" i="2" s="1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N352" i="2"/>
  <c r="L352" i="2"/>
  <c r="O352" i="2" s="1"/>
  <c r="N351" i="2"/>
  <c r="L351" i="2"/>
  <c r="O351" i="2" s="1"/>
  <c r="J350" i="2"/>
  <c r="I350" i="2"/>
  <c r="N349" i="2"/>
  <c r="L349" i="2"/>
  <c r="O349" i="2" s="1"/>
  <c r="J349" i="2"/>
  <c r="I349" i="2"/>
  <c r="K349" i="2" s="1"/>
  <c r="N347" i="2"/>
  <c r="L347" i="2"/>
  <c r="J346" i="2"/>
  <c r="I346" i="2"/>
  <c r="J345" i="2"/>
  <c r="I345" i="2"/>
  <c r="J344" i="2"/>
  <c r="I344" i="2"/>
  <c r="K344" i="2" s="1"/>
  <c r="J343" i="2"/>
  <c r="I343" i="2"/>
  <c r="J342" i="2"/>
  <c r="I342" i="2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M331" i="2" s="1"/>
  <c r="O332" i="2"/>
  <c r="P330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P311" i="2"/>
  <c r="O311" i="2"/>
  <c r="N311" i="2"/>
  <c r="M311" i="2"/>
  <c r="L311" i="2"/>
  <c r="J309" i="2"/>
  <c r="I309" i="2"/>
  <c r="J308" i="2"/>
  <c r="J307" i="2"/>
  <c r="J306" i="2"/>
  <c r="I306" i="2"/>
  <c r="K306" i="2" s="1"/>
  <c r="J304" i="2"/>
  <c r="I304" i="2"/>
  <c r="J303" i="2"/>
  <c r="J302" i="2"/>
  <c r="J301" i="2"/>
  <c r="J300" i="2"/>
  <c r="N298" i="2"/>
  <c r="L298" i="2"/>
  <c r="O298" i="2" s="1"/>
  <c r="L296" i="2"/>
  <c r="L295" i="2"/>
  <c r="N294" i="2"/>
  <c r="M294" i="2"/>
  <c r="O293" i="2"/>
  <c r="P291" i="2"/>
  <c r="O291" i="2"/>
  <c r="N291" i="2"/>
  <c r="M291" i="2"/>
  <c r="L291" i="2"/>
  <c r="J289" i="2"/>
  <c r="I289" i="2"/>
  <c r="K289" i="2" s="1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O272" i="2"/>
  <c r="N272" i="2"/>
  <c r="M272" i="2"/>
  <c r="P272" i="2" s="1"/>
  <c r="L272" i="2"/>
  <c r="J270" i="2"/>
  <c r="I270" i="2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P251" i="2"/>
  <c r="N251" i="2"/>
  <c r="M251" i="2"/>
  <c r="L251" i="2"/>
  <c r="O251" i="2" s="1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P221" i="2"/>
  <c r="N221" i="2"/>
  <c r="M221" i="2"/>
  <c r="L221" i="2"/>
  <c r="O221" i="2" s="1"/>
  <c r="J219" i="2"/>
  <c r="I219" i="2"/>
  <c r="J218" i="2"/>
  <c r="J217" i="2"/>
  <c r="J216" i="2"/>
  <c r="I216" i="2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N141" i="2"/>
  <c r="M141" i="2"/>
  <c r="L141" i="2"/>
  <c r="O141" i="2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O119" i="2"/>
  <c r="N119" i="2"/>
  <c r="M119" i="2"/>
  <c r="P119" i="2" s="1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M96" i="2" s="1"/>
  <c r="P96" i="2" s="1"/>
  <c r="O97" i="2"/>
  <c r="N95" i="2"/>
  <c r="M95" i="2"/>
  <c r="P95" i="2" s="1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O69" i="2"/>
  <c r="O67" i="2"/>
  <c r="N67" i="2"/>
  <c r="M67" i="2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N54" i="2"/>
  <c r="M54" i="2"/>
  <c r="P54" i="2" s="1"/>
  <c r="L54" i="2"/>
  <c r="N49" i="2"/>
  <c r="L49" i="2"/>
  <c r="L47" i="2"/>
  <c r="L46" i="2"/>
  <c r="N45" i="2"/>
  <c r="M45" i="2"/>
  <c r="O42" i="2"/>
  <c r="N42" i="2"/>
  <c r="M42" i="2"/>
  <c r="L42" i="2"/>
  <c r="P36" i="2"/>
  <c r="O36" i="2"/>
  <c r="P35" i="2"/>
  <c r="O35" i="2"/>
  <c r="P34" i="2"/>
  <c r="M34" i="2"/>
  <c r="M33" i="2"/>
  <c r="P32" i="2"/>
  <c r="M32" i="2"/>
  <c r="M31" i="2"/>
  <c r="M29" i="2" s="1"/>
  <c r="M30" i="2"/>
  <c r="P30" i="2" s="1"/>
  <c r="P26" i="2"/>
  <c r="M26" i="2"/>
  <c r="P25" i="2"/>
  <c r="O25" i="2"/>
  <c r="N25" i="2"/>
  <c r="M25" i="2"/>
  <c r="L25" i="2"/>
  <c r="N24" i="2"/>
  <c r="M24" i="2"/>
  <c r="P23" i="2"/>
  <c r="N23" i="2"/>
  <c r="M23" i="2"/>
  <c r="N21" i="2"/>
  <c r="M21" i="2"/>
  <c r="P21" i="2" s="1"/>
  <c r="L21" i="2"/>
  <c r="N19" i="2"/>
  <c r="P16" i="2"/>
  <c r="M16" i="2"/>
  <c r="O15" i="2"/>
  <c r="N15" i="2"/>
  <c r="M15" i="2"/>
  <c r="P15" i="2" s="1"/>
  <c r="L15" i="2"/>
  <c r="J563" i="1"/>
  <c r="I563" i="1"/>
  <c r="J562" i="1"/>
  <c r="I562" i="1"/>
  <c r="I548" i="1"/>
  <c r="K548" i="1" s="1"/>
  <c r="I365" i="1"/>
  <c r="K365" i="1" s="1"/>
  <c r="L336" i="1"/>
  <c r="O332" i="1"/>
  <c r="N332" i="1"/>
  <c r="M332" i="1"/>
  <c r="L332" i="1"/>
  <c r="O330" i="1"/>
  <c r="N330" i="1"/>
  <c r="M330" i="1"/>
  <c r="P330" i="1" s="1"/>
  <c r="L330" i="1"/>
  <c r="L317" i="1"/>
  <c r="N313" i="1"/>
  <c r="M313" i="1"/>
  <c r="L313" i="1"/>
  <c r="O313" i="1" s="1"/>
  <c r="N311" i="1"/>
  <c r="M311" i="1"/>
  <c r="P311" i="1" s="1"/>
  <c r="L311" i="1"/>
  <c r="O311" i="1" s="1"/>
  <c r="J307" i="1"/>
  <c r="L297" i="1"/>
  <c r="O293" i="1"/>
  <c r="N293" i="1"/>
  <c r="M293" i="1"/>
  <c r="L293" i="1"/>
  <c r="P291" i="1"/>
  <c r="N291" i="1"/>
  <c r="M291" i="1"/>
  <c r="L291" i="1"/>
  <c r="O291" i="1" s="1"/>
  <c r="L278" i="1"/>
  <c r="N274" i="1"/>
  <c r="M274" i="1"/>
  <c r="L274" i="1"/>
  <c r="O274" i="1" s="1"/>
  <c r="P272" i="1"/>
  <c r="N272" i="1"/>
  <c r="M272" i="1"/>
  <c r="L272" i="1"/>
  <c r="O272" i="1" s="1"/>
  <c r="L257" i="1"/>
  <c r="N253" i="1"/>
  <c r="M253" i="1"/>
  <c r="L253" i="1"/>
  <c r="O253" i="1" s="1"/>
  <c r="O251" i="1"/>
  <c r="N251" i="1"/>
  <c r="M251" i="1"/>
  <c r="P251" i="1" s="1"/>
  <c r="L251" i="1"/>
  <c r="J240" i="1"/>
  <c r="L227" i="1"/>
  <c r="N223" i="1"/>
  <c r="M223" i="1"/>
  <c r="L223" i="1"/>
  <c r="O223" i="1" s="1"/>
  <c r="N221" i="1"/>
  <c r="L221" i="1"/>
  <c r="O221" i="1" s="1"/>
  <c r="J214" i="1"/>
  <c r="I214" i="1"/>
  <c r="J198" i="1"/>
  <c r="L147" i="1"/>
  <c r="O143" i="1"/>
  <c r="N143" i="1"/>
  <c r="M143" i="1"/>
  <c r="L143" i="1"/>
  <c r="P141" i="1"/>
  <c r="N141" i="1"/>
  <c r="M141" i="1"/>
  <c r="L141" i="1"/>
  <c r="O141" i="1" s="1"/>
  <c r="L125" i="1"/>
  <c r="O121" i="1"/>
  <c r="N121" i="1"/>
  <c r="M121" i="1"/>
  <c r="L121" i="1"/>
  <c r="P119" i="1"/>
  <c r="N119" i="1"/>
  <c r="M119" i="1"/>
  <c r="L119" i="1"/>
  <c r="O119" i="1" s="1"/>
  <c r="L101" i="1"/>
  <c r="O97" i="1"/>
  <c r="N97" i="1"/>
  <c r="M97" i="1"/>
  <c r="L97" i="1"/>
  <c r="P95" i="1"/>
  <c r="N95" i="1"/>
  <c r="M95" i="1"/>
  <c r="L95" i="1"/>
  <c r="O95" i="1" s="1"/>
  <c r="L73" i="1"/>
  <c r="N69" i="1"/>
  <c r="N21" i="1" s="1"/>
  <c r="M69" i="1"/>
  <c r="L69" i="1"/>
  <c r="O69" i="1" s="1"/>
  <c r="P67" i="1"/>
  <c r="O67" i="1"/>
  <c r="N67" i="1"/>
  <c r="M67" i="1"/>
  <c r="L67" i="1"/>
  <c r="L60" i="1"/>
  <c r="L56" i="1"/>
  <c r="P54" i="1"/>
  <c r="N54" i="1"/>
  <c r="M54" i="1"/>
  <c r="L54" i="1"/>
  <c r="O54" i="1" s="1"/>
  <c r="L48" i="1"/>
  <c r="L44" i="1"/>
  <c r="L21" i="1" s="1"/>
  <c r="N42" i="1"/>
  <c r="M42" i="1"/>
  <c r="P42" i="1" s="1"/>
  <c r="P36" i="1"/>
  <c r="O36" i="1"/>
  <c r="P35" i="1"/>
  <c r="O35" i="1"/>
  <c r="P34" i="1"/>
  <c r="M34" i="1"/>
  <c r="M33" i="1"/>
  <c r="P33" i="1" s="1"/>
  <c r="M32" i="1"/>
  <c r="P32" i="1" s="1"/>
  <c r="P31" i="1"/>
  <c r="M31" i="1"/>
  <c r="P30" i="1"/>
  <c r="M30" i="1"/>
  <c r="M29" i="1"/>
  <c r="P29" i="1" s="1"/>
  <c r="P25" i="1"/>
  <c r="N25" i="1"/>
  <c r="M25" i="1"/>
  <c r="L25" i="1"/>
  <c r="O25" i="1" s="1"/>
  <c r="N24" i="1"/>
  <c r="M24" i="1"/>
  <c r="P24" i="1" s="1"/>
  <c r="N23" i="1"/>
  <c r="M23" i="1"/>
  <c r="P23" i="1" s="1"/>
  <c r="P21" i="1"/>
  <c r="M21" i="1"/>
  <c r="M19" i="1" s="1"/>
  <c r="N15" i="1"/>
  <c r="M15" i="1"/>
  <c r="P15" i="1" s="1"/>
  <c r="M14" i="1"/>
  <c r="P14" i="1" s="1"/>
  <c r="M11" i="1"/>
  <c r="P11" i="1" s="1"/>
  <c r="K397" i="11" l="1"/>
  <c r="K401" i="15"/>
  <c r="K429" i="15"/>
  <c r="K595" i="3"/>
  <c r="K611" i="3"/>
  <c r="N43" i="4"/>
  <c r="N41" i="4" s="1"/>
  <c r="L57" i="4"/>
  <c r="O57" i="4" s="1"/>
  <c r="L98" i="15"/>
  <c r="O98" i="15" s="1"/>
  <c r="K213" i="15"/>
  <c r="K630" i="18"/>
  <c r="O564" i="18"/>
  <c r="K629" i="16"/>
  <c r="K633" i="16"/>
  <c r="K632" i="18"/>
  <c r="N120" i="3"/>
  <c r="N118" i="3" s="1"/>
  <c r="L45" i="4"/>
  <c r="O45" i="4" s="1"/>
  <c r="K424" i="4"/>
  <c r="K432" i="4"/>
  <c r="O457" i="4"/>
  <c r="O582" i="4"/>
  <c r="J266" i="1"/>
  <c r="K133" i="11"/>
  <c r="N252" i="13"/>
  <c r="N250" i="13" s="1"/>
  <c r="O404" i="6"/>
  <c r="K450" i="6"/>
  <c r="K455" i="6"/>
  <c r="O535" i="6"/>
  <c r="K377" i="7"/>
  <c r="O385" i="7"/>
  <c r="K613" i="8"/>
  <c r="N68" i="10"/>
  <c r="N66" i="10" s="1"/>
  <c r="K589" i="8"/>
  <c r="K593" i="8"/>
  <c r="K597" i="8"/>
  <c r="K199" i="9"/>
  <c r="K398" i="11"/>
  <c r="K482" i="11"/>
  <c r="O383" i="6"/>
  <c r="K533" i="6"/>
  <c r="K563" i="6"/>
  <c r="O406" i="12"/>
  <c r="K562" i="18"/>
  <c r="K597" i="18"/>
  <c r="K372" i="14"/>
  <c r="K402" i="14"/>
  <c r="K419" i="14"/>
  <c r="O439" i="14"/>
  <c r="K397" i="18"/>
  <c r="K533" i="18"/>
  <c r="O566" i="18"/>
  <c r="K613" i="18"/>
  <c r="K631" i="18"/>
  <c r="L333" i="2"/>
  <c r="L331" i="2" s="1"/>
  <c r="L329" i="2" s="1"/>
  <c r="K108" i="18"/>
  <c r="I92" i="1"/>
  <c r="N252" i="5"/>
  <c r="N250" i="5" s="1"/>
  <c r="P224" i="11"/>
  <c r="K189" i="18"/>
  <c r="N98" i="1"/>
  <c r="J111" i="1"/>
  <c r="J117" i="1"/>
  <c r="J229" i="1"/>
  <c r="K229" i="3"/>
  <c r="K398" i="7"/>
  <c r="O406" i="7"/>
  <c r="K423" i="7"/>
  <c r="P275" i="4"/>
  <c r="K201" i="10"/>
  <c r="N68" i="15"/>
  <c r="P68" i="15" s="1"/>
  <c r="K235" i="2"/>
  <c r="K423" i="12"/>
  <c r="K427" i="12"/>
  <c r="K431" i="12"/>
  <c r="O435" i="12"/>
  <c r="K482" i="12"/>
  <c r="O533" i="12"/>
  <c r="K628" i="12"/>
  <c r="K631" i="13"/>
  <c r="O537" i="16"/>
  <c r="O580" i="11"/>
  <c r="K173" i="14"/>
  <c r="K189" i="14"/>
  <c r="K200" i="14"/>
  <c r="J209" i="1"/>
  <c r="K185" i="11"/>
  <c r="L58" i="1"/>
  <c r="N438" i="1"/>
  <c r="J133" i="1"/>
  <c r="N337" i="1"/>
  <c r="K595" i="7"/>
  <c r="K628" i="7"/>
  <c r="K430" i="10"/>
  <c r="K370" i="12"/>
  <c r="K417" i="12"/>
  <c r="K421" i="12"/>
  <c r="K562" i="12"/>
  <c r="K345" i="18"/>
  <c r="I265" i="1"/>
  <c r="O406" i="3"/>
  <c r="L57" i="7"/>
  <c r="O57" i="7" s="1"/>
  <c r="O580" i="9"/>
  <c r="O584" i="9"/>
  <c r="K499" i="11"/>
  <c r="K629" i="11"/>
  <c r="K370" i="13"/>
  <c r="K593" i="13"/>
  <c r="K597" i="13"/>
  <c r="K428" i="14"/>
  <c r="K398" i="17"/>
  <c r="P337" i="4"/>
  <c r="K423" i="4"/>
  <c r="K431" i="4"/>
  <c r="O435" i="4"/>
  <c r="K466" i="6"/>
  <c r="K474" i="6"/>
  <c r="K482" i="6"/>
  <c r="K564" i="6"/>
  <c r="K573" i="6"/>
  <c r="K628" i="6"/>
  <c r="K375" i="7"/>
  <c r="K426" i="7"/>
  <c r="K430" i="7"/>
  <c r="K497" i="7"/>
  <c r="K213" i="8"/>
  <c r="L57" i="9"/>
  <c r="L55" i="9" s="1"/>
  <c r="L53" i="9" s="1"/>
  <c r="L224" i="10"/>
  <c r="L222" i="10" s="1"/>
  <c r="L220" i="10" s="1"/>
  <c r="O220" i="10" s="1"/>
  <c r="K396" i="10"/>
  <c r="O404" i="10"/>
  <c r="K597" i="10"/>
  <c r="K630" i="10"/>
  <c r="K634" i="10"/>
  <c r="K199" i="8"/>
  <c r="K200" i="13"/>
  <c r="K630" i="17"/>
  <c r="K634" i="17"/>
  <c r="K109" i="18"/>
  <c r="K341" i="2"/>
  <c r="K551" i="2"/>
  <c r="O457" i="7"/>
  <c r="O601" i="8"/>
  <c r="K635" i="8"/>
  <c r="K375" i="9"/>
  <c r="K591" i="14"/>
  <c r="N273" i="18"/>
  <c r="N271" i="18" s="1"/>
  <c r="J154" i="1"/>
  <c r="J161" i="1"/>
  <c r="J172" i="1"/>
  <c r="J182" i="1"/>
  <c r="J188" i="1"/>
  <c r="L256" i="1"/>
  <c r="N292" i="7"/>
  <c r="N290" i="7" s="1"/>
  <c r="J346" i="1"/>
  <c r="J350" i="1"/>
  <c r="J393" i="1"/>
  <c r="I449" i="1"/>
  <c r="M275" i="1"/>
  <c r="N68" i="13"/>
  <c r="N66" i="13" s="1"/>
  <c r="J79" i="1"/>
  <c r="J87" i="1"/>
  <c r="N142" i="13"/>
  <c r="N140" i="13" s="1"/>
  <c r="N292" i="13"/>
  <c r="N290" i="13" s="1"/>
  <c r="J88" i="1"/>
  <c r="I270" i="1"/>
  <c r="N102" i="1"/>
  <c r="J109" i="1"/>
  <c r="J113" i="1"/>
  <c r="J169" i="1"/>
  <c r="L225" i="1"/>
  <c r="J233" i="1"/>
  <c r="J340" i="1"/>
  <c r="J344" i="1"/>
  <c r="J128" i="1"/>
  <c r="J134" i="1"/>
  <c r="L316" i="1"/>
  <c r="J211" i="1"/>
  <c r="M224" i="1"/>
  <c r="J245" i="1"/>
  <c r="J632" i="1"/>
  <c r="L47" i="1"/>
  <c r="I229" i="1"/>
  <c r="J270" i="1"/>
  <c r="I343" i="1"/>
  <c r="J364" i="1"/>
  <c r="J487" i="1"/>
  <c r="J110" i="1"/>
  <c r="J155" i="1"/>
  <c r="I189" i="1"/>
  <c r="I87" i="1"/>
  <c r="I93" i="1"/>
  <c r="J201" i="1"/>
  <c r="P122" i="5"/>
  <c r="K64" i="7"/>
  <c r="K235" i="11"/>
  <c r="K464" i="11"/>
  <c r="K158" i="12"/>
  <c r="K328" i="12"/>
  <c r="P70" i="18"/>
  <c r="K87" i="18"/>
  <c r="K93" i="18"/>
  <c r="K350" i="18"/>
  <c r="K376" i="18"/>
  <c r="O380" i="18"/>
  <c r="K402" i="18"/>
  <c r="I401" i="1"/>
  <c r="J130" i="1"/>
  <c r="N357" i="1"/>
  <c r="J374" i="1"/>
  <c r="N552" i="1"/>
  <c r="I339" i="1"/>
  <c r="K339" i="1" s="1"/>
  <c r="J90" i="1"/>
  <c r="I397" i="1"/>
  <c r="L226" i="1"/>
  <c r="L404" i="1"/>
  <c r="J426" i="1"/>
  <c r="J430" i="1"/>
  <c r="J446" i="1"/>
  <c r="N455" i="1"/>
  <c r="J469" i="1"/>
  <c r="N536" i="1"/>
  <c r="I65" i="1"/>
  <c r="N126" i="1"/>
  <c r="I149" i="1"/>
  <c r="J159" i="1"/>
  <c r="J170" i="1"/>
  <c r="J176" i="1"/>
  <c r="J186" i="1"/>
  <c r="J197" i="1"/>
  <c r="J203" i="1"/>
  <c r="J219" i="1"/>
  <c r="N61" i="1"/>
  <c r="J77" i="1"/>
  <c r="J82" i="1"/>
  <c r="K614" i="6"/>
  <c r="O564" i="10"/>
  <c r="J162" i="1"/>
  <c r="I173" i="1"/>
  <c r="K425" i="13"/>
  <c r="K158" i="14"/>
  <c r="N331" i="15"/>
  <c r="N329" i="15" s="1"/>
  <c r="I200" i="1"/>
  <c r="J81" i="1"/>
  <c r="L401" i="1"/>
  <c r="I374" i="1"/>
  <c r="I417" i="1"/>
  <c r="K589" i="2"/>
  <c r="K597" i="2"/>
  <c r="N353" i="1"/>
  <c r="K635" i="5"/>
  <c r="L349" i="1"/>
  <c r="K612" i="16"/>
  <c r="N74" i="1"/>
  <c r="J320" i="1"/>
  <c r="L382" i="1"/>
  <c r="O382" i="1" s="1"/>
  <c r="I425" i="1"/>
  <c r="I84" i="1"/>
  <c r="I306" i="1"/>
  <c r="M314" i="1"/>
  <c r="N252" i="2"/>
  <c r="N250" i="2" s="1"/>
  <c r="L566" i="1"/>
  <c r="J80" i="1"/>
  <c r="J84" i="1"/>
  <c r="L100" i="1"/>
  <c r="J108" i="1"/>
  <c r="J112" i="1"/>
  <c r="J158" i="1"/>
  <c r="N254" i="1"/>
  <c r="J303" i="1"/>
  <c r="O352" i="8"/>
  <c r="I589" i="1"/>
  <c r="J607" i="1"/>
  <c r="N49" i="1"/>
  <c r="J149" i="1"/>
  <c r="J187" i="1"/>
  <c r="K634" i="14"/>
  <c r="K419" i="15"/>
  <c r="J433" i="1"/>
  <c r="K629" i="4"/>
  <c r="P57" i="5"/>
  <c r="L70" i="5"/>
  <c r="O70" i="5" s="1"/>
  <c r="N273" i="6"/>
  <c r="N271" i="6" s="1"/>
  <c r="L98" i="7"/>
  <c r="L96" i="7" s="1"/>
  <c r="K466" i="7"/>
  <c r="L276" i="1"/>
  <c r="K628" i="13"/>
  <c r="N120" i="14"/>
  <c r="N118" i="14" s="1"/>
  <c r="N222" i="14"/>
  <c r="N220" i="14" s="1"/>
  <c r="J241" i="1"/>
  <c r="I429" i="1"/>
  <c r="L59" i="1"/>
  <c r="J104" i="1"/>
  <c r="J114" i="1"/>
  <c r="J135" i="1"/>
  <c r="J242" i="1"/>
  <c r="J269" i="1"/>
  <c r="L295" i="1"/>
  <c r="I324" i="1"/>
  <c r="J362" i="1"/>
  <c r="J372" i="1"/>
  <c r="J376" i="1"/>
  <c r="N380" i="1"/>
  <c r="N384" i="1"/>
  <c r="J398" i="1"/>
  <c r="J415" i="1"/>
  <c r="J419" i="1"/>
  <c r="J423" i="1"/>
  <c r="J427" i="1"/>
  <c r="J431" i="1"/>
  <c r="N435" i="1"/>
  <c r="J448" i="1"/>
  <c r="J452" i="1"/>
  <c r="N456" i="1"/>
  <c r="J498" i="1"/>
  <c r="J502" i="1"/>
  <c r="J510" i="1"/>
  <c r="N228" i="1"/>
  <c r="J235" i="1"/>
  <c r="J243" i="1"/>
  <c r="N258" i="1"/>
  <c r="J265" i="1"/>
  <c r="K591" i="11"/>
  <c r="K595" i="11"/>
  <c r="J157" i="1"/>
  <c r="I164" i="1"/>
  <c r="J174" i="1"/>
  <c r="J217" i="1"/>
  <c r="N273" i="16"/>
  <c r="N271" i="16" s="1"/>
  <c r="J85" i="1"/>
  <c r="J249" i="1"/>
  <c r="I421" i="1"/>
  <c r="J89" i="1"/>
  <c r="J129" i="1"/>
  <c r="M144" i="1"/>
  <c r="K424" i="2"/>
  <c r="K547" i="2"/>
  <c r="K630" i="4"/>
  <c r="I64" i="1"/>
  <c r="N122" i="1"/>
  <c r="J131" i="1"/>
  <c r="J163" i="1"/>
  <c r="I266" i="1"/>
  <c r="L277" i="1"/>
  <c r="J328" i="1"/>
  <c r="K376" i="8"/>
  <c r="K573" i="8"/>
  <c r="K419" i="10"/>
  <c r="K423" i="10"/>
  <c r="N144" i="1"/>
  <c r="L347" i="1"/>
  <c r="J377" i="1"/>
  <c r="N385" i="1"/>
  <c r="N408" i="1"/>
  <c r="J64" i="1"/>
  <c r="M70" i="1"/>
  <c r="J78" i="1"/>
  <c r="K499" i="13"/>
  <c r="K547" i="13"/>
  <c r="K158" i="16"/>
  <c r="K249" i="17"/>
  <c r="K377" i="17"/>
  <c r="K416" i="17"/>
  <c r="J480" i="1"/>
  <c r="L126" i="1"/>
  <c r="O126" i="1" s="1"/>
  <c r="N275" i="1"/>
  <c r="L314" i="3"/>
  <c r="L312" i="3" s="1"/>
  <c r="K397" i="5"/>
  <c r="O597" i="5"/>
  <c r="K631" i="5"/>
  <c r="K635" i="6"/>
  <c r="K86" i="7"/>
  <c r="K92" i="7"/>
  <c r="K215" i="7"/>
  <c r="K435" i="9"/>
  <c r="O455" i="9"/>
  <c r="K597" i="9"/>
  <c r="L294" i="12"/>
  <c r="O294" i="12" s="1"/>
  <c r="K618" i="13"/>
  <c r="J472" i="1"/>
  <c r="I138" i="1"/>
  <c r="I369" i="1"/>
  <c r="K369" i="1" s="1"/>
  <c r="J76" i="1"/>
  <c r="J106" i="1"/>
  <c r="I117" i="1"/>
  <c r="J138" i="1"/>
  <c r="L145" i="1"/>
  <c r="J156" i="1"/>
  <c r="J184" i="1"/>
  <c r="J210" i="1"/>
  <c r="J216" i="1"/>
  <c r="L224" i="3"/>
  <c r="K419" i="3"/>
  <c r="K427" i="3"/>
  <c r="K431" i="3"/>
  <c r="J86" i="1"/>
  <c r="J105" i="1"/>
  <c r="J160" i="1"/>
  <c r="J171" i="1"/>
  <c r="J181" i="1"/>
  <c r="I199" i="1"/>
  <c r="J302" i="1"/>
  <c r="J361" i="1"/>
  <c r="I372" i="1"/>
  <c r="I376" i="1"/>
  <c r="L380" i="1"/>
  <c r="J391" i="1"/>
  <c r="I398" i="1"/>
  <c r="I402" i="1"/>
  <c r="J414" i="1"/>
  <c r="L439" i="1"/>
  <c r="N460" i="1"/>
  <c r="I518" i="1"/>
  <c r="I526" i="1"/>
  <c r="I530" i="1"/>
  <c r="L537" i="1"/>
  <c r="I615" i="1"/>
  <c r="K589" i="7"/>
  <c r="L123" i="1"/>
  <c r="K158" i="9"/>
  <c r="J308" i="1"/>
  <c r="J367" i="1"/>
  <c r="J371" i="1"/>
  <c r="K563" i="9"/>
  <c r="L122" i="11"/>
  <c r="L120" i="11" s="1"/>
  <c r="L118" i="11" s="1"/>
  <c r="K339" i="11"/>
  <c r="N554" i="1"/>
  <c r="K593" i="16"/>
  <c r="I418" i="1"/>
  <c r="K199" i="18"/>
  <c r="K349" i="18"/>
  <c r="K396" i="18"/>
  <c r="K429" i="18"/>
  <c r="O437" i="18"/>
  <c r="K464" i="18"/>
  <c r="I516" i="1"/>
  <c r="I113" i="1"/>
  <c r="I215" i="1"/>
  <c r="I373" i="1"/>
  <c r="K373" i="1" s="1"/>
  <c r="L144" i="5"/>
  <c r="O144" i="5" s="1"/>
  <c r="N55" i="8"/>
  <c r="N53" i="8" s="1"/>
  <c r="K381" i="8"/>
  <c r="K431" i="9"/>
  <c r="J285" i="1"/>
  <c r="O401" i="17"/>
  <c r="I532" i="1"/>
  <c r="I176" i="1"/>
  <c r="I285" i="1"/>
  <c r="I467" i="1"/>
  <c r="K467" i="1" s="1"/>
  <c r="I592" i="1"/>
  <c r="K592" i="1" s="1"/>
  <c r="K285" i="5"/>
  <c r="N55" i="6"/>
  <c r="N53" i="6" s="1"/>
  <c r="O435" i="7"/>
  <c r="O533" i="7"/>
  <c r="O537" i="7"/>
  <c r="N569" i="1"/>
  <c r="K350" i="9"/>
  <c r="I328" i="1"/>
  <c r="P333" i="13"/>
  <c r="K340" i="13"/>
  <c r="O352" i="13"/>
  <c r="K421" i="13"/>
  <c r="K88" i="15"/>
  <c r="K149" i="15"/>
  <c r="N292" i="15"/>
  <c r="N290" i="15" s="1"/>
  <c r="K397" i="16"/>
  <c r="K422" i="18"/>
  <c r="I520" i="1"/>
  <c r="N222" i="2"/>
  <c r="N220" i="2" s="1"/>
  <c r="J232" i="1"/>
  <c r="J238" i="1"/>
  <c r="J246" i="1"/>
  <c r="N582" i="1"/>
  <c r="I499" i="1"/>
  <c r="K270" i="6"/>
  <c r="J264" i="1"/>
  <c r="J283" i="1"/>
  <c r="M333" i="1"/>
  <c r="I340" i="1"/>
  <c r="I349" i="1"/>
  <c r="J365" i="1"/>
  <c r="J370" i="1"/>
  <c r="N387" i="1"/>
  <c r="J396" i="1"/>
  <c r="N410" i="1"/>
  <c r="J421" i="1"/>
  <c r="J425" i="1"/>
  <c r="J450" i="1"/>
  <c r="J464" i="1"/>
  <c r="J468" i="1"/>
  <c r="K81" i="11"/>
  <c r="J476" i="1"/>
  <c r="L46" i="1"/>
  <c r="M122" i="1"/>
  <c r="I204" i="1"/>
  <c r="L384" i="1"/>
  <c r="O384" i="1" s="1"/>
  <c r="I472" i="1"/>
  <c r="K472" i="1" s="1"/>
  <c r="J413" i="1"/>
  <c r="J418" i="1"/>
  <c r="J422" i="1"/>
  <c r="J435" i="1"/>
  <c r="J451" i="1"/>
  <c r="J465" i="1"/>
  <c r="J369" i="1"/>
  <c r="J394" i="1"/>
  <c r="J416" i="1"/>
  <c r="J424" i="1"/>
  <c r="J432" i="1"/>
  <c r="N436" i="1"/>
  <c r="N441" i="1"/>
  <c r="J449" i="1"/>
  <c r="N457" i="1"/>
  <c r="L564" i="1"/>
  <c r="L568" i="1"/>
  <c r="J213" i="1"/>
  <c r="N294" i="1"/>
  <c r="J309" i="1"/>
  <c r="J342" i="1"/>
  <c r="N354" i="1"/>
  <c r="J363" i="1"/>
  <c r="I381" i="1"/>
  <c r="J399" i="1"/>
  <c r="N407" i="1"/>
  <c r="I424" i="1"/>
  <c r="P49" i="12"/>
  <c r="K109" i="12"/>
  <c r="K450" i="13"/>
  <c r="K464" i="15"/>
  <c r="K350" i="16"/>
  <c r="J484" i="1"/>
  <c r="M57" i="1"/>
  <c r="M55" i="1" s="1"/>
  <c r="M53" i="1" s="1"/>
  <c r="I133" i="1"/>
  <c r="L435" i="1"/>
  <c r="I476" i="1"/>
  <c r="K476" i="1" s="1"/>
  <c r="J282" i="1"/>
  <c r="J289" i="1"/>
  <c r="J544" i="1"/>
  <c r="J550" i="1"/>
  <c r="N570" i="1"/>
  <c r="L71" i="1"/>
  <c r="J93" i="1"/>
  <c r="J195" i="1"/>
  <c r="J218" i="1"/>
  <c r="M254" i="1"/>
  <c r="J262" i="1"/>
  <c r="I267" i="1"/>
  <c r="N279" i="1"/>
  <c r="I533" i="1"/>
  <c r="O401" i="4"/>
  <c r="J473" i="1"/>
  <c r="N559" i="1"/>
  <c r="J594" i="1"/>
  <c r="K631" i="4"/>
  <c r="K635" i="4"/>
  <c r="J234" i="1"/>
  <c r="K464" i="5"/>
  <c r="K562" i="5"/>
  <c r="K589" i="5"/>
  <c r="K634" i="5"/>
  <c r="O599" i="7"/>
  <c r="K216" i="8"/>
  <c r="K229" i="8"/>
  <c r="K265" i="8"/>
  <c r="K285" i="8"/>
  <c r="K328" i="8"/>
  <c r="P275" i="9"/>
  <c r="K633" i="9"/>
  <c r="K199" i="11"/>
  <c r="L294" i="11"/>
  <c r="O294" i="11" s="1"/>
  <c r="P144" i="12"/>
  <c r="K381" i="12"/>
  <c r="K449" i="12"/>
  <c r="O564" i="12"/>
  <c r="K229" i="13"/>
  <c r="O584" i="13"/>
  <c r="N318" i="1"/>
  <c r="K631" i="15"/>
  <c r="N43" i="18"/>
  <c r="N41" i="18" s="1"/>
  <c r="O354" i="2"/>
  <c r="L354" i="1"/>
  <c r="I85" i="1"/>
  <c r="I111" i="1"/>
  <c r="I492" i="1"/>
  <c r="K492" i="1" s="1"/>
  <c r="L296" i="1"/>
  <c r="J304" i="1"/>
  <c r="J512" i="1"/>
  <c r="O583" i="14"/>
  <c r="L583" i="1"/>
  <c r="O583" i="1" s="1"/>
  <c r="O600" i="14"/>
  <c r="L600" i="1"/>
  <c r="O600" i="1" s="1"/>
  <c r="N598" i="1"/>
  <c r="J619" i="1"/>
  <c r="I86" i="1"/>
  <c r="I132" i="1"/>
  <c r="I289" i="1"/>
  <c r="I500" i="1"/>
  <c r="K500" i="1" s="1"/>
  <c r="K632" i="5"/>
  <c r="I632" i="1"/>
  <c r="K596" i="8"/>
  <c r="I596" i="1"/>
  <c r="K596" i="1" s="1"/>
  <c r="K249" i="13"/>
  <c r="I249" i="1"/>
  <c r="O456" i="6"/>
  <c r="L456" i="1"/>
  <c r="O456" i="1" s="1"/>
  <c r="O554" i="6"/>
  <c r="L554" i="1"/>
  <c r="O554" i="1" s="1"/>
  <c r="J611" i="1"/>
  <c r="L258" i="1"/>
  <c r="O258" i="1" s="1"/>
  <c r="J530" i="1"/>
  <c r="J546" i="1"/>
  <c r="J573" i="1"/>
  <c r="K480" i="8"/>
  <c r="I480" i="1"/>
  <c r="K480" i="1" s="1"/>
  <c r="K484" i="8"/>
  <c r="I484" i="1"/>
  <c r="K484" i="1" s="1"/>
  <c r="K488" i="8"/>
  <c r="I488" i="1"/>
  <c r="K488" i="1" s="1"/>
  <c r="K496" i="8"/>
  <c r="I496" i="1"/>
  <c r="K496" i="1" s="1"/>
  <c r="K508" i="8"/>
  <c r="I508" i="1"/>
  <c r="K508" i="1" s="1"/>
  <c r="K512" i="8"/>
  <c r="I512" i="1"/>
  <c r="K512" i="1" s="1"/>
  <c r="I524" i="1"/>
  <c r="I528" i="1"/>
  <c r="K576" i="8"/>
  <c r="I576" i="1"/>
  <c r="K576" i="1" s="1"/>
  <c r="I375" i="1"/>
  <c r="L383" i="1"/>
  <c r="K577" i="11"/>
  <c r="I577" i="1"/>
  <c r="K577" i="1" s="1"/>
  <c r="K590" i="11"/>
  <c r="I590" i="1"/>
  <c r="K590" i="1" s="1"/>
  <c r="K304" i="2"/>
  <c r="I304" i="1"/>
  <c r="K452" i="6"/>
  <c r="I452" i="1"/>
  <c r="K452" i="1" s="1"/>
  <c r="N603" i="1"/>
  <c r="I82" i="1"/>
  <c r="M98" i="1"/>
  <c r="I477" i="1"/>
  <c r="K477" i="1" s="1"/>
  <c r="K473" i="2"/>
  <c r="I473" i="1"/>
  <c r="K507" i="5"/>
  <c r="I507" i="1"/>
  <c r="K507" i="1" s="1"/>
  <c r="N581" i="1"/>
  <c r="N585" i="1"/>
  <c r="K344" i="8"/>
  <c r="I344" i="1"/>
  <c r="K344" i="1" s="1"/>
  <c r="P314" i="16"/>
  <c r="M312" i="16"/>
  <c r="P312" i="16" s="1"/>
  <c r="O337" i="2"/>
  <c r="L337" i="1"/>
  <c r="I264" i="1"/>
  <c r="L405" i="1"/>
  <c r="O405" i="1" s="1"/>
  <c r="P294" i="2"/>
  <c r="M292" i="2"/>
  <c r="P292" i="2" s="1"/>
  <c r="M294" i="1"/>
  <c r="J322" i="1"/>
  <c r="O353" i="2"/>
  <c r="L353" i="1"/>
  <c r="O353" i="1" s="1"/>
  <c r="J360" i="1"/>
  <c r="J375" i="1"/>
  <c r="J380" i="1"/>
  <c r="N383" i="1"/>
  <c r="K479" i="7"/>
  <c r="I479" i="1"/>
  <c r="K479" i="1" s="1"/>
  <c r="K483" i="7"/>
  <c r="I483" i="1"/>
  <c r="K483" i="1" s="1"/>
  <c r="K487" i="7"/>
  <c r="I487" i="1"/>
  <c r="K487" i="1" s="1"/>
  <c r="K491" i="7"/>
  <c r="I491" i="1"/>
  <c r="K491" i="1" s="1"/>
  <c r="K377" i="10"/>
  <c r="I377" i="1"/>
  <c r="K471" i="10"/>
  <c r="I471" i="1"/>
  <c r="K471" i="1" s="1"/>
  <c r="K346" i="2"/>
  <c r="I346" i="1"/>
  <c r="K346" i="1" s="1"/>
  <c r="I235" i="1"/>
  <c r="I110" i="1"/>
  <c r="L255" i="1"/>
  <c r="J268" i="1"/>
  <c r="I498" i="1"/>
  <c r="N314" i="1"/>
  <c r="L335" i="1"/>
  <c r="I422" i="1"/>
  <c r="L459" i="1"/>
  <c r="J261" i="1"/>
  <c r="J301" i="1"/>
  <c r="J341" i="1"/>
  <c r="J345" i="1"/>
  <c r="N349" i="1"/>
  <c r="I368" i="1"/>
  <c r="O318" i="5"/>
  <c r="L318" i="1"/>
  <c r="O318" i="1" s="1"/>
  <c r="J325" i="1"/>
  <c r="N351" i="1"/>
  <c r="L122" i="2"/>
  <c r="O122" i="2" s="1"/>
  <c r="K132" i="2"/>
  <c r="K108" i="3"/>
  <c r="K112" i="3"/>
  <c r="K368" i="3"/>
  <c r="L580" i="1"/>
  <c r="L601" i="1"/>
  <c r="J609" i="1"/>
  <c r="I631" i="1"/>
  <c r="I635" i="1"/>
  <c r="K93" i="6"/>
  <c r="P98" i="6"/>
  <c r="K111" i="6"/>
  <c r="K235" i="6"/>
  <c r="O354" i="6"/>
  <c r="L32" i="7"/>
  <c r="L30" i="7" s="1"/>
  <c r="J455" i="1"/>
  <c r="K464" i="7"/>
  <c r="O582" i="7"/>
  <c r="O383" i="8"/>
  <c r="N557" i="1"/>
  <c r="L314" i="9"/>
  <c r="L312" i="9" s="1"/>
  <c r="O312" i="9" s="1"/>
  <c r="K376" i="9"/>
  <c r="L57" i="12"/>
  <c r="O57" i="12" s="1"/>
  <c r="L333" i="12"/>
  <c r="O333" i="12" s="1"/>
  <c r="K341" i="12"/>
  <c r="O349" i="12"/>
  <c r="N32" i="12"/>
  <c r="N30" i="12" s="1"/>
  <c r="O597" i="12"/>
  <c r="N312" i="14"/>
  <c r="N310" i="14" s="1"/>
  <c r="K397" i="15"/>
  <c r="O455" i="15"/>
  <c r="K497" i="15"/>
  <c r="K423" i="16"/>
  <c r="N43" i="2"/>
  <c r="N41" i="2" s="1"/>
  <c r="L99" i="1"/>
  <c r="J212" i="1"/>
  <c r="J260" i="1"/>
  <c r="K432" i="2"/>
  <c r="K249" i="3"/>
  <c r="L294" i="3"/>
  <c r="O294" i="3" s="1"/>
  <c r="I522" i="1"/>
  <c r="L533" i="1"/>
  <c r="K113" i="4"/>
  <c r="K628" i="4"/>
  <c r="N142" i="7"/>
  <c r="P142" i="7" s="1"/>
  <c r="N222" i="9"/>
  <c r="N220" i="9" s="1"/>
  <c r="K235" i="13"/>
  <c r="K464" i="13"/>
  <c r="K629" i="13"/>
  <c r="L98" i="14"/>
  <c r="O98" i="14" s="1"/>
  <c r="K108" i="14"/>
  <c r="K533" i="14"/>
  <c r="L275" i="15"/>
  <c r="L273" i="15" s="1"/>
  <c r="K498" i="15"/>
  <c r="K617" i="16"/>
  <c r="I219" i="1"/>
  <c r="L437" i="1"/>
  <c r="N442" i="1"/>
  <c r="J560" i="1"/>
  <c r="N602" i="1"/>
  <c r="I619" i="1"/>
  <c r="I623" i="1"/>
  <c r="K580" i="5"/>
  <c r="J454" i="1"/>
  <c r="J479" i="1"/>
  <c r="J503" i="1"/>
  <c r="J527" i="1"/>
  <c r="N539" i="1"/>
  <c r="J547" i="1"/>
  <c r="N551" i="1"/>
  <c r="N555" i="1"/>
  <c r="P57" i="7"/>
  <c r="K92" i="8"/>
  <c r="K474" i="8"/>
  <c r="J477" i="1"/>
  <c r="J485" i="1"/>
  <c r="O597" i="9"/>
  <c r="K631" i="9"/>
  <c r="K200" i="10"/>
  <c r="K149" i="12"/>
  <c r="K350" i="12"/>
  <c r="O533" i="14"/>
  <c r="O380" i="15"/>
  <c r="N567" i="1"/>
  <c r="J623" i="1"/>
  <c r="N312" i="3"/>
  <c r="N310" i="3" s="1"/>
  <c r="K632" i="3"/>
  <c r="K108" i="5"/>
  <c r="K112" i="5"/>
  <c r="K164" i="5"/>
  <c r="K422" i="5"/>
  <c r="K481" i="5"/>
  <c r="K427" i="8"/>
  <c r="N462" i="1"/>
  <c r="N96" i="11"/>
  <c r="N94" i="11" s="1"/>
  <c r="K589" i="13"/>
  <c r="K189" i="16"/>
  <c r="K235" i="16"/>
  <c r="K429" i="16"/>
  <c r="K450" i="16"/>
  <c r="K455" i="16"/>
  <c r="P254" i="2"/>
  <c r="K426" i="2"/>
  <c r="K430" i="2"/>
  <c r="J488" i="1"/>
  <c r="J492" i="1"/>
  <c r="J496" i="1"/>
  <c r="J500" i="1"/>
  <c r="K189" i="3"/>
  <c r="K235" i="3"/>
  <c r="L275" i="3"/>
  <c r="L273" i="3" s="1"/>
  <c r="K629" i="3"/>
  <c r="K417" i="4"/>
  <c r="O437" i="4"/>
  <c r="K464" i="4"/>
  <c r="K563" i="5"/>
  <c r="O584" i="5"/>
  <c r="K109" i="6"/>
  <c r="K340" i="6"/>
  <c r="K349" i="6"/>
  <c r="K428" i="8"/>
  <c r="O457" i="8"/>
  <c r="K482" i="8"/>
  <c r="K138" i="10"/>
  <c r="J517" i="1"/>
  <c r="J521" i="1"/>
  <c r="J525" i="1"/>
  <c r="J529" i="1"/>
  <c r="J533" i="1"/>
  <c r="K589" i="10"/>
  <c r="K189" i="11"/>
  <c r="K428" i="11"/>
  <c r="K432" i="11"/>
  <c r="O564" i="11"/>
  <c r="P98" i="12"/>
  <c r="K621" i="13"/>
  <c r="K611" i="14"/>
  <c r="K173" i="17"/>
  <c r="K200" i="17"/>
  <c r="K235" i="17"/>
  <c r="K474" i="18"/>
  <c r="J516" i="1"/>
  <c r="N541" i="1"/>
  <c r="J548" i="1"/>
  <c r="N556" i="1"/>
  <c r="N564" i="1"/>
  <c r="J575" i="1"/>
  <c r="N588" i="1"/>
  <c r="J612" i="1"/>
  <c r="J620" i="1"/>
  <c r="J624" i="1"/>
  <c r="J629" i="1"/>
  <c r="J593" i="1"/>
  <c r="J597" i="1"/>
  <c r="I613" i="1"/>
  <c r="I617" i="1"/>
  <c r="I621" i="1"/>
  <c r="J494" i="1"/>
  <c r="K466" i="13"/>
  <c r="K498" i="13"/>
  <c r="K149" i="14"/>
  <c r="O347" i="14"/>
  <c r="K270" i="16"/>
  <c r="P122" i="2"/>
  <c r="N312" i="2"/>
  <c r="N310" i="2" s="1"/>
  <c r="J323" i="1"/>
  <c r="K398" i="2"/>
  <c r="J509" i="1"/>
  <c r="L122" i="3"/>
  <c r="O122" i="3" s="1"/>
  <c r="K164" i="3"/>
  <c r="K375" i="3"/>
  <c r="K580" i="3"/>
  <c r="N96" i="4"/>
  <c r="N94" i="4" s="1"/>
  <c r="I465" i="1"/>
  <c r="I481" i="1"/>
  <c r="I497" i="1"/>
  <c r="I517" i="1"/>
  <c r="I521" i="1"/>
  <c r="I525" i="1"/>
  <c r="I529" i="1"/>
  <c r="J543" i="1"/>
  <c r="J549" i="1"/>
  <c r="N558" i="1"/>
  <c r="N571" i="1"/>
  <c r="K381" i="5"/>
  <c r="K564" i="5"/>
  <c r="K92" i="6"/>
  <c r="K110" i="6"/>
  <c r="K149" i="7"/>
  <c r="L294" i="7"/>
  <c r="O294" i="7" s="1"/>
  <c r="O347" i="7"/>
  <c r="N597" i="1"/>
  <c r="J626" i="1"/>
  <c r="O102" i="8"/>
  <c r="K109" i="8"/>
  <c r="K464" i="8"/>
  <c r="K164" i="9"/>
  <c r="O533" i="10"/>
  <c r="K551" i="10"/>
  <c r="K560" i="10"/>
  <c r="K266" i="11"/>
  <c r="K425" i="11"/>
  <c r="N312" i="12"/>
  <c r="N310" i="12" s="1"/>
  <c r="K340" i="12"/>
  <c r="L70" i="13"/>
  <c r="O70" i="13" s="1"/>
  <c r="K564" i="13"/>
  <c r="K612" i="14"/>
  <c r="K616" i="14"/>
  <c r="K204" i="15"/>
  <c r="P333" i="15"/>
  <c r="K341" i="16"/>
  <c r="K533" i="16"/>
  <c r="L122" i="17"/>
  <c r="L120" i="17" s="1"/>
  <c r="K132" i="17"/>
  <c r="I490" i="1"/>
  <c r="K490" i="1" s="1"/>
  <c r="K490" i="2"/>
  <c r="K515" i="7"/>
  <c r="I515" i="1"/>
  <c r="K515" i="1" s="1"/>
  <c r="O534" i="7"/>
  <c r="L534" i="1"/>
  <c r="O534" i="1" s="1"/>
  <c r="P254" i="10"/>
  <c r="M252" i="10"/>
  <c r="P252" i="10" s="1"/>
  <c r="K468" i="7"/>
  <c r="I468" i="1"/>
  <c r="K468" i="1" s="1"/>
  <c r="N565" i="1"/>
  <c r="K506" i="3"/>
  <c r="I506" i="1"/>
  <c r="K506" i="1" s="1"/>
  <c r="K514" i="3"/>
  <c r="I514" i="1"/>
  <c r="K514" i="1" s="1"/>
  <c r="I560" i="1"/>
  <c r="K560" i="3"/>
  <c r="K513" i="2"/>
  <c r="I513" i="1"/>
  <c r="K513" i="1" s="1"/>
  <c r="K509" i="4"/>
  <c r="I509" i="1"/>
  <c r="K509" i="1" s="1"/>
  <c r="J373" i="1"/>
  <c r="J478" i="1"/>
  <c r="J513" i="1"/>
  <c r="O275" i="3"/>
  <c r="K285" i="3"/>
  <c r="K377" i="3"/>
  <c r="K381" i="3"/>
  <c r="K416" i="3"/>
  <c r="K424" i="3"/>
  <c r="K432" i="3"/>
  <c r="K573" i="3"/>
  <c r="K631" i="3"/>
  <c r="K149" i="4"/>
  <c r="K267" i="4"/>
  <c r="K309" i="4"/>
  <c r="K376" i="4"/>
  <c r="K398" i="4"/>
  <c r="O553" i="4"/>
  <c r="L24" i="5"/>
  <c r="O24" i="5" s="1"/>
  <c r="K108" i="7"/>
  <c r="K112" i="7"/>
  <c r="N252" i="7"/>
  <c r="N250" i="7" s="1"/>
  <c r="N31" i="8"/>
  <c r="N29" i="8" s="1"/>
  <c r="K420" i="9"/>
  <c r="K402" i="10"/>
  <c r="K249" i="11"/>
  <c r="K631" i="11"/>
  <c r="K149" i="13"/>
  <c r="K377" i="13"/>
  <c r="O566" i="13"/>
  <c r="N331" i="14"/>
  <c r="N329" i="14" s="1"/>
  <c r="O383" i="14"/>
  <c r="O535" i="14"/>
  <c r="K562" i="14"/>
  <c r="N222" i="15"/>
  <c r="N220" i="15" s="1"/>
  <c r="K396" i="16"/>
  <c r="O599" i="16"/>
  <c r="K625" i="17"/>
  <c r="K264" i="18"/>
  <c r="K370" i="18"/>
  <c r="J378" i="1"/>
  <c r="K396" i="2"/>
  <c r="K401" i="2"/>
  <c r="O404" i="2"/>
  <c r="K417" i="2"/>
  <c r="K421" i="2"/>
  <c r="N463" i="1"/>
  <c r="N600" i="1"/>
  <c r="K630" i="2"/>
  <c r="N31" i="5"/>
  <c r="N11" i="5" s="1"/>
  <c r="N9" i="5" s="1"/>
  <c r="L224" i="6"/>
  <c r="O224" i="6" s="1"/>
  <c r="P254" i="6"/>
  <c r="O49" i="7"/>
  <c r="P224" i="7"/>
  <c r="N331" i="9"/>
  <c r="N329" i="9" s="1"/>
  <c r="K396" i="9"/>
  <c r="O533" i="9"/>
  <c r="O537" i="9"/>
  <c r="O537" i="11"/>
  <c r="K564" i="12"/>
  <c r="K396" i="13"/>
  <c r="K634" i="13"/>
  <c r="K345" i="14"/>
  <c r="O349" i="14"/>
  <c r="K380" i="15"/>
  <c r="O437" i="15"/>
  <c r="P70" i="16"/>
  <c r="O383" i="16"/>
  <c r="L254" i="17"/>
  <c r="O254" i="17" s="1"/>
  <c r="K264" i="17"/>
  <c r="K482" i="17"/>
  <c r="K635" i="17"/>
  <c r="K328" i="18"/>
  <c r="J281" i="1"/>
  <c r="O537" i="2"/>
  <c r="K396" i="3"/>
  <c r="O564" i="3"/>
  <c r="K189" i="4"/>
  <c r="K200" i="4"/>
  <c r="K381" i="4"/>
  <c r="K551" i="4"/>
  <c r="L254" i="5"/>
  <c r="O254" i="5" s="1"/>
  <c r="K498" i="8"/>
  <c r="K380" i="9"/>
  <c r="K397" i="9"/>
  <c r="K80" i="11"/>
  <c r="K547" i="11"/>
  <c r="L70" i="12"/>
  <c r="O70" i="12" s="1"/>
  <c r="K427" i="14"/>
  <c r="K580" i="14"/>
  <c r="K589" i="14"/>
  <c r="K616" i="16"/>
  <c r="I216" i="1"/>
  <c r="N566" i="1"/>
  <c r="J631" i="1"/>
  <c r="J635" i="1"/>
  <c r="J417" i="1"/>
  <c r="J429" i="1"/>
  <c r="N443" i="1"/>
  <c r="O582" i="5"/>
  <c r="K341" i="6"/>
  <c r="K547" i="8"/>
  <c r="N312" i="9"/>
  <c r="N310" i="9" s="1"/>
  <c r="N273" i="10"/>
  <c r="N271" i="10" s="1"/>
  <c r="L57" i="11"/>
  <c r="O57" i="11" s="1"/>
  <c r="K396" i="11"/>
  <c r="N252" i="12"/>
  <c r="N250" i="12" s="1"/>
  <c r="K328" i="13"/>
  <c r="K380" i="13"/>
  <c r="O354" i="14"/>
  <c r="K368" i="14"/>
  <c r="O580" i="14"/>
  <c r="K235" i="15"/>
  <c r="O401" i="15"/>
  <c r="K426" i="15"/>
  <c r="K430" i="15"/>
  <c r="N292" i="16"/>
  <c r="N290" i="16" s="1"/>
  <c r="O601" i="16"/>
  <c r="N312" i="17"/>
  <c r="N310" i="17" s="1"/>
  <c r="O352" i="17"/>
  <c r="K396" i="17"/>
  <c r="K82" i="18"/>
  <c r="K111" i="18"/>
  <c r="N120" i="18"/>
  <c r="N118" i="18" s="1"/>
  <c r="L144" i="18"/>
  <c r="O144" i="18" s="1"/>
  <c r="O349" i="18"/>
  <c r="O455" i="18"/>
  <c r="K465" i="18"/>
  <c r="L146" i="1"/>
  <c r="N389" i="1"/>
  <c r="N401" i="1"/>
  <c r="I519" i="1"/>
  <c r="I523" i="1"/>
  <c r="I527" i="1"/>
  <c r="I531" i="1"/>
  <c r="K267" i="3"/>
  <c r="K451" i="3"/>
  <c r="O455" i="3"/>
  <c r="K229" i="4"/>
  <c r="L32" i="4"/>
  <c r="L30" i="4" s="1"/>
  <c r="O401" i="5"/>
  <c r="N68" i="6"/>
  <c r="N66" i="6" s="1"/>
  <c r="L122" i="8"/>
  <c r="O122" i="8" s="1"/>
  <c r="K398" i="9"/>
  <c r="L32" i="11"/>
  <c r="L30" i="11" s="1"/>
  <c r="L275" i="12"/>
  <c r="L273" i="12" s="1"/>
  <c r="K117" i="13"/>
  <c r="K424" i="14"/>
  <c r="L315" i="1"/>
  <c r="J578" i="1"/>
  <c r="K82" i="3"/>
  <c r="O599" i="5"/>
  <c r="K173" i="6"/>
  <c r="K200" i="6"/>
  <c r="L294" i="6"/>
  <c r="O294" i="6" s="1"/>
  <c r="L314" i="6"/>
  <c r="L312" i="6" s="1"/>
  <c r="L310" i="6" s="1"/>
  <c r="O310" i="6" s="1"/>
  <c r="K593" i="11"/>
  <c r="K533" i="12"/>
  <c r="K634" i="12"/>
  <c r="K341" i="13"/>
  <c r="K372" i="13"/>
  <c r="K435" i="13"/>
  <c r="L254" i="15"/>
  <c r="L252" i="15" s="1"/>
  <c r="O252" i="15" s="1"/>
  <c r="K381" i="15"/>
  <c r="O74" i="16"/>
  <c r="N31" i="16"/>
  <c r="N29" i="16" s="1"/>
  <c r="L45" i="17"/>
  <c r="O45" i="17" s="1"/>
  <c r="K108" i="17"/>
  <c r="L333" i="17"/>
  <c r="O333" i="17" s="1"/>
  <c r="O349" i="17"/>
  <c r="K112" i="18"/>
  <c r="L122" i="18"/>
  <c r="L120" i="18" s="1"/>
  <c r="K158" i="18"/>
  <c r="N222" i="18"/>
  <c r="N220" i="18" s="1"/>
  <c r="K419" i="18"/>
  <c r="N148" i="1"/>
  <c r="J196" i="1"/>
  <c r="J202" i="1"/>
  <c r="K285" i="2"/>
  <c r="J368" i="1"/>
  <c r="J392" i="1"/>
  <c r="J447" i="1"/>
  <c r="J481" i="1"/>
  <c r="K497" i="2"/>
  <c r="N142" i="3"/>
  <c r="N140" i="3" s="1"/>
  <c r="P275" i="3"/>
  <c r="K372" i="3"/>
  <c r="K398" i="3"/>
  <c r="K402" i="3"/>
  <c r="K473" i="3"/>
  <c r="K213" i="4"/>
  <c r="K375" i="4"/>
  <c r="K562" i="4"/>
  <c r="O380" i="5"/>
  <c r="K398" i="5"/>
  <c r="K402" i="5"/>
  <c r="K474" i="5"/>
  <c r="K108" i="6"/>
  <c r="L144" i="6"/>
  <c r="L142" i="6" s="1"/>
  <c r="K420" i="6"/>
  <c r="K449" i="6"/>
  <c r="O564" i="6"/>
  <c r="O568" i="6"/>
  <c r="K575" i="6"/>
  <c r="K93" i="7"/>
  <c r="N222" i="7"/>
  <c r="N220" i="7" s="1"/>
  <c r="L70" i="8"/>
  <c r="O70" i="8" s="1"/>
  <c r="K341" i="11"/>
  <c r="O349" i="11"/>
  <c r="O455" i="11"/>
  <c r="K597" i="11"/>
  <c r="K630" i="11"/>
  <c r="K634" i="11"/>
  <c r="K267" i="12"/>
  <c r="K418" i="12"/>
  <c r="K426" i="12"/>
  <c r="L57" i="13"/>
  <c r="O57" i="13" s="1"/>
  <c r="K219" i="13"/>
  <c r="N222" i="13"/>
  <c r="N220" i="13" s="1"/>
  <c r="K350" i="13"/>
  <c r="K423" i="13"/>
  <c r="K533" i="13"/>
  <c r="L254" i="14"/>
  <c r="O254" i="14" s="1"/>
  <c r="O564" i="14"/>
  <c r="K81" i="16"/>
  <c r="K85" i="16"/>
  <c r="O568" i="16"/>
  <c r="O582" i="16"/>
  <c r="K614" i="16"/>
  <c r="K418" i="17"/>
  <c r="K422" i="17"/>
  <c r="K430" i="17"/>
  <c r="O459" i="17"/>
  <c r="K465" i="17"/>
  <c r="K473" i="17"/>
  <c r="K597" i="17"/>
  <c r="L70" i="18"/>
  <c r="O70" i="18" s="1"/>
  <c r="K80" i="18"/>
  <c r="K88" i="18"/>
  <c r="K289" i="18"/>
  <c r="J630" i="1"/>
  <c r="N45" i="1"/>
  <c r="J284" i="1"/>
  <c r="J495" i="1"/>
  <c r="I624" i="1"/>
  <c r="I633" i="1"/>
  <c r="J237" i="1"/>
  <c r="J244" i="1"/>
  <c r="L32" i="13"/>
  <c r="L30" i="13" s="1"/>
  <c r="L275" i="2"/>
  <c r="L273" i="2" s="1"/>
  <c r="K345" i="2"/>
  <c r="K429" i="2"/>
  <c r="O555" i="2"/>
  <c r="K573" i="2"/>
  <c r="O597" i="2"/>
  <c r="N57" i="1"/>
  <c r="K65" i="3"/>
  <c r="J199" i="1"/>
  <c r="J204" i="1"/>
  <c r="J215" i="1"/>
  <c r="K350" i="3"/>
  <c r="O401" i="3"/>
  <c r="J412" i="1"/>
  <c r="J610" i="1"/>
  <c r="I614" i="1"/>
  <c r="I622" i="1"/>
  <c r="L124" i="1"/>
  <c r="J132" i="1"/>
  <c r="K340" i="4"/>
  <c r="J379" i="1"/>
  <c r="K401" i="4"/>
  <c r="N538" i="1"/>
  <c r="I547" i="1"/>
  <c r="K595" i="4"/>
  <c r="K92" i="5"/>
  <c r="J263" i="1"/>
  <c r="J267" i="1"/>
  <c r="N33" i="5"/>
  <c r="N13" i="5" s="1"/>
  <c r="K380" i="5"/>
  <c r="O459" i="5"/>
  <c r="N572" i="1"/>
  <c r="K498" i="6"/>
  <c r="L144" i="7"/>
  <c r="O144" i="7" s="1"/>
  <c r="P275" i="7"/>
  <c r="O352" i="7"/>
  <c r="K573" i="7"/>
  <c r="O601" i="7"/>
  <c r="K164" i="8"/>
  <c r="K200" i="8"/>
  <c r="K270" i="8"/>
  <c r="K370" i="8"/>
  <c r="K420" i="8"/>
  <c r="K563" i="8"/>
  <c r="K219" i="9"/>
  <c r="P98" i="17"/>
  <c r="K111" i="17"/>
  <c r="J434" i="1"/>
  <c r="L57" i="3"/>
  <c r="L55" i="3" s="1"/>
  <c r="K80" i="3"/>
  <c r="P122" i="3"/>
  <c r="L144" i="3"/>
  <c r="O144" i="3" s="1"/>
  <c r="K270" i="3"/>
  <c r="K343" i="3"/>
  <c r="I591" i="1"/>
  <c r="J519" i="1"/>
  <c r="J523" i="1"/>
  <c r="J531" i="1"/>
  <c r="N534" i="1"/>
  <c r="P98" i="5"/>
  <c r="K111" i="5"/>
  <c r="J511" i="1"/>
  <c r="O337" i="6"/>
  <c r="O597" i="6"/>
  <c r="O601" i="6"/>
  <c r="K617" i="6"/>
  <c r="K110" i="7"/>
  <c r="M120" i="7"/>
  <c r="P120" i="7" s="1"/>
  <c r="K158" i="7"/>
  <c r="K345" i="7"/>
  <c r="K112" i="8"/>
  <c r="K133" i="8"/>
  <c r="K201" i="8"/>
  <c r="K396" i="8"/>
  <c r="K425" i="8"/>
  <c r="N142" i="9"/>
  <c r="N140" i="9" s="1"/>
  <c r="N292" i="9"/>
  <c r="N290" i="9" s="1"/>
  <c r="K368" i="9"/>
  <c r="N312" i="10"/>
  <c r="N310" i="10" s="1"/>
  <c r="O354" i="13"/>
  <c r="L34" i="13"/>
  <c r="O380" i="13"/>
  <c r="K547" i="18"/>
  <c r="N292" i="3"/>
  <c r="N290" i="3" s="1"/>
  <c r="N586" i="1"/>
  <c r="P314" i="4"/>
  <c r="L333" i="4"/>
  <c r="O333" i="4" s="1"/>
  <c r="O535" i="4"/>
  <c r="L122" i="5"/>
  <c r="O122" i="5" s="1"/>
  <c r="K132" i="5"/>
  <c r="K200" i="5"/>
  <c r="K465" i="5"/>
  <c r="O601" i="5"/>
  <c r="K158" i="6"/>
  <c r="K631" i="6"/>
  <c r="K618" i="7"/>
  <c r="K113" i="8"/>
  <c r="N222" i="8"/>
  <c r="N220" i="8" s="1"/>
  <c r="K497" i="8"/>
  <c r="K630" i="8"/>
  <c r="K591" i="9"/>
  <c r="K466" i="10"/>
  <c r="M96" i="11"/>
  <c r="P96" i="11" s="1"/>
  <c r="P98" i="11"/>
  <c r="K349" i="14"/>
  <c r="N120" i="2"/>
  <c r="N118" i="2" s="1"/>
  <c r="O455" i="2"/>
  <c r="K81" i="3"/>
  <c r="K113" i="3"/>
  <c r="N252" i="4"/>
  <c r="N250" i="4" s="1"/>
  <c r="J445" i="1"/>
  <c r="J508" i="1"/>
  <c r="I466" i="1"/>
  <c r="J489" i="1"/>
  <c r="K432" i="6"/>
  <c r="N68" i="7"/>
  <c r="N66" i="7" s="1"/>
  <c r="K213" i="7"/>
  <c r="K350" i="7"/>
  <c r="N252" i="8"/>
  <c r="N250" i="8" s="1"/>
  <c r="K397" i="8"/>
  <c r="K450" i="8"/>
  <c r="O597" i="8"/>
  <c r="N96" i="9"/>
  <c r="N94" i="9" s="1"/>
  <c r="P122" i="9"/>
  <c r="K173" i="9"/>
  <c r="N273" i="9"/>
  <c r="N271" i="9" s="1"/>
  <c r="N43" i="10"/>
  <c r="N41" i="10" s="1"/>
  <c r="N120" i="10"/>
  <c r="N118" i="10" s="1"/>
  <c r="K614" i="12"/>
  <c r="K619" i="12"/>
  <c r="P144" i="16"/>
  <c r="L224" i="16"/>
  <c r="L222" i="16" s="1"/>
  <c r="L220" i="16" s="1"/>
  <c r="N96" i="2"/>
  <c r="N94" i="2" s="1"/>
  <c r="J491" i="1"/>
  <c r="O385" i="3"/>
  <c r="K449" i="3"/>
  <c r="K466" i="3"/>
  <c r="L224" i="4"/>
  <c r="O224" i="4" s="1"/>
  <c r="L254" i="4"/>
  <c r="O254" i="4" s="1"/>
  <c r="O380" i="4"/>
  <c r="K426" i="4"/>
  <c r="K563" i="4"/>
  <c r="L275" i="5"/>
  <c r="O275" i="5" s="1"/>
  <c r="M312" i="5"/>
  <c r="P312" i="5" s="1"/>
  <c r="N331" i="5"/>
  <c r="N329" i="5" s="1"/>
  <c r="K424" i="5"/>
  <c r="N440" i="1"/>
  <c r="L45" i="6"/>
  <c r="O45" i="6" s="1"/>
  <c r="L70" i="7"/>
  <c r="O70" i="7" s="1"/>
  <c r="K80" i="7"/>
  <c r="K235" i="7"/>
  <c r="L314" i="7"/>
  <c r="O314" i="7" s="1"/>
  <c r="K432" i="7"/>
  <c r="K449" i="7"/>
  <c r="L224" i="8"/>
  <c r="O224" i="8" s="1"/>
  <c r="N292" i="8"/>
  <c r="N290" i="8" s="1"/>
  <c r="K465" i="8"/>
  <c r="L98" i="9"/>
  <c r="L96" i="9" s="1"/>
  <c r="P333" i="9"/>
  <c r="K370" i="9"/>
  <c r="K449" i="9"/>
  <c r="O564" i="9"/>
  <c r="O568" i="9"/>
  <c r="O599" i="9"/>
  <c r="K629" i="9"/>
  <c r="K65" i="10"/>
  <c r="P70" i="10"/>
  <c r="K343" i="10"/>
  <c r="K424" i="10"/>
  <c r="P57" i="11"/>
  <c r="K416" i="11"/>
  <c r="K111" i="12"/>
  <c r="K117" i="12"/>
  <c r="P275" i="12"/>
  <c r="K623" i="16"/>
  <c r="K620" i="16"/>
  <c r="K626" i="16"/>
  <c r="K216" i="2"/>
  <c r="K229" i="2"/>
  <c r="K64" i="3"/>
  <c r="J490" i="1"/>
  <c r="J545" i="1"/>
  <c r="K612" i="3"/>
  <c r="K235" i="4"/>
  <c r="N406" i="1"/>
  <c r="I634" i="1"/>
  <c r="K113" i="5"/>
  <c r="L43" i="6"/>
  <c r="L41" i="6" s="1"/>
  <c r="P144" i="6"/>
  <c r="K396" i="6"/>
  <c r="K401" i="6"/>
  <c r="K425" i="6"/>
  <c r="K562" i="6"/>
  <c r="K173" i="8"/>
  <c r="K264" i="8"/>
  <c r="N33" i="8"/>
  <c r="N13" i="8" s="1"/>
  <c r="O582" i="8"/>
  <c r="K591" i="8"/>
  <c r="K632" i="8"/>
  <c r="K340" i="9"/>
  <c r="K349" i="9"/>
  <c r="O352" i="9"/>
  <c r="K401" i="9"/>
  <c r="N31" i="10"/>
  <c r="N29" i="10" s="1"/>
  <c r="K595" i="10"/>
  <c r="O534" i="15"/>
  <c r="L31" i="15"/>
  <c r="O31" i="15" s="1"/>
  <c r="K481" i="16"/>
  <c r="L45" i="2"/>
  <c r="O45" i="2" s="1"/>
  <c r="N68" i="2"/>
  <c r="N66" i="2" s="1"/>
  <c r="N273" i="2"/>
  <c r="N271" i="2" s="1"/>
  <c r="N292" i="2"/>
  <c r="N290" i="2" s="1"/>
  <c r="O580" i="2"/>
  <c r="L584" i="1"/>
  <c r="L45" i="3"/>
  <c r="L43" i="3" s="1"/>
  <c r="K83" i="3"/>
  <c r="K92" i="3"/>
  <c r="N252" i="3"/>
  <c r="N250" i="3" s="1"/>
  <c r="J514" i="1"/>
  <c r="J518" i="1"/>
  <c r="J522" i="1"/>
  <c r="J526" i="1"/>
  <c r="K86" i="4"/>
  <c r="K92" i="4"/>
  <c r="L144" i="4"/>
  <c r="O144" i="4" s="1"/>
  <c r="O347" i="4"/>
  <c r="J400" i="1"/>
  <c r="J608" i="1"/>
  <c r="J617" i="1"/>
  <c r="J621" i="1"/>
  <c r="J625" i="1"/>
  <c r="K149" i="5"/>
  <c r="K345" i="5"/>
  <c r="K421" i="5"/>
  <c r="K425" i="5"/>
  <c r="K455" i="5"/>
  <c r="K533" i="5"/>
  <c r="L254" i="6"/>
  <c r="O254" i="6" s="1"/>
  <c r="K264" i="6"/>
  <c r="L333" i="6"/>
  <c r="O333" i="6" s="1"/>
  <c r="K345" i="6"/>
  <c r="K422" i="6"/>
  <c r="O459" i="6"/>
  <c r="K465" i="6"/>
  <c r="K481" i="6"/>
  <c r="K629" i="6"/>
  <c r="K633" i="6"/>
  <c r="K81" i="7"/>
  <c r="K396" i="7"/>
  <c r="K425" i="7"/>
  <c r="K630" i="7"/>
  <c r="K111" i="8"/>
  <c r="K340" i="8"/>
  <c r="O435" i="8"/>
  <c r="K466" i="8"/>
  <c r="L45" i="9"/>
  <c r="O45" i="9" s="1"/>
  <c r="K149" i="9"/>
  <c r="O437" i="9"/>
  <c r="K450" i="9"/>
  <c r="K498" i="9"/>
  <c r="K562" i="9"/>
  <c r="K593" i="9"/>
  <c r="L70" i="10"/>
  <c r="O70" i="10" s="1"/>
  <c r="K80" i="10"/>
  <c r="K270" i="10"/>
  <c r="O555" i="10"/>
  <c r="K110" i="14"/>
  <c r="K398" i="16"/>
  <c r="K402" i="16"/>
  <c r="K419" i="16"/>
  <c r="K498" i="17"/>
  <c r="N352" i="1"/>
  <c r="N358" i="1"/>
  <c r="J366" i="1"/>
  <c r="K449" i="10"/>
  <c r="J579" i="1"/>
  <c r="N587" i="1"/>
  <c r="J107" i="1"/>
  <c r="J286" i="1"/>
  <c r="J300" i="1"/>
  <c r="O352" i="11"/>
  <c r="K401" i="11"/>
  <c r="K417" i="11"/>
  <c r="K421" i="11"/>
  <c r="K498" i="11"/>
  <c r="J576" i="1"/>
  <c r="J580" i="1"/>
  <c r="N583" i="1"/>
  <c r="J589" i="1"/>
  <c r="J164" i="1"/>
  <c r="J175" i="1"/>
  <c r="J185" i="1"/>
  <c r="J326" i="1"/>
  <c r="J343" i="1"/>
  <c r="O347" i="12"/>
  <c r="N355" i="1"/>
  <c r="K474" i="12"/>
  <c r="O535" i="12"/>
  <c r="K381" i="13"/>
  <c r="N68" i="14"/>
  <c r="N66" i="14" s="1"/>
  <c r="K499" i="14"/>
  <c r="K398" i="15"/>
  <c r="O435" i="15"/>
  <c r="K465" i="15"/>
  <c r="K473" i="15"/>
  <c r="P122" i="16"/>
  <c r="J173" i="1"/>
  <c r="J183" i="1"/>
  <c r="L334" i="1"/>
  <c r="K349" i="16"/>
  <c r="N32" i="16"/>
  <c r="N30" i="16" s="1"/>
  <c r="O435" i="16"/>
  <c r="K474" i="16"/>
  <c r="J493" i="1"/>
  <c r="J505" i="1"/>
  <c r="N34" i="16"/>
  <c r="N14" i="16" s="1"/>
  <c r="J83" i="1"/>
  <c r="O383" i="17"/>
  <c r="K432" i="17"/>
  <c r="O457" i="17"/>
  <c r="J471" i="1"/>
  <c r="O537" i="17"/>
  <c r="K573" i="17"/>
  <c r="J591" i="1"/>
  <c r="J595" i="1"/>
  <c r="J614" i="1"/>
  <c r="J618" i="1"/>
  <c r="K306" i="18"/>
  <c r="O352" i="18"/>
  <c r="J596" i="1"/>
  <c r="K562" i="10"/>
  <c r="K580" i="10"/>
  <c r="O385" i="13"/>
  <c r="O439" i="13"/>
  <c r="K219" i="14"/>
  <c r="L275" i="14"/>
  <c r="L273" i="14" s="1"/>
  <c r="L271" i="14" s="1"/>
  <c r="K285" i="14"/>
  <c r="K341" i="14"/>
  <c r="K422" i="14"/>
  <c r="K564" i="14"/>
  <c r="K133" i="15"/>
  <c r="K466" i="15"/>
  <c r="K474" i="15"/>
  <c r="O535" i="15"/>
  <c r="L45" i="16"/>
  <c r="O45" i="16" s="1"/>
  <c r="L70" i="16"/>
  <c r="O70" i="16" s="1"/>
  <c r="K164" i="16"/>
  <c r="K341" i="18"/>
  <c r="K375" i="18"/>
  <c r="K401" i="18"/>
  <c r="K420" i="18"/>
  <c r="K422" i="10"/>
  <c r="K563" i="10"/>
  <c r="K593" i="10"/>
  <c r="N68" i="11"/>
  <c r="N66" i="11" s="1"/>
  <c r="K117" i="11"/>
  <c r="N292" i="11"/>
  <c r="N290" i="11" s="1"/>
  <c r="K564" i="11"/>
  <c r="N68" i="12"/>
  <c r="N66" i="12" s="1"/>
  <c r="N120" i="12"/>
  <c r="N118" i="12" s="1"/>
  <c r="K401" i="12"/>
  <c r="L254" i="13"/>
  <c r="L252" i="13" s="1"/>
  <c r="O252" i="13" s="1"/>
  <c r="N31" i="13"/>
  <c r="N29" i="13" s="1"/>
  <c r="N55" i="15"/>
  <c r="N53" i="15" s="1"/>
  <c r="K370" i="15"/>
  <c r="K533" i="15"/>
  <c r="N252" i="16"/>
  <c r="N250" i="16" s="1"/>
  <c r="K482" i="16"/>
  <c r="K498" i="16"/>
  <c r="O102" i="17"/>
  <c r="O437" i="17"/>
  <c r="O564" i="17"/>
  <c r="K631" i="17"/>
  <c r="O401" i="18"/>
  <c r="K425" i="18"/>
  <c r="K589" i="18"/>
  <c r="L254" i="11"/>
  <c r="O254" i="11" s="1"/>
  <c r="N222" i="12"/>
  <c r="N220" i="12" s="1"/>
  <c r="N120" i="13"/>
  <c r="N118" i="13" s="1"/>
  <c r="K173" i="13"/>
  <c r="L294" i="13"/>
  <c r="O294" i="13" s="1"/>
  <c r="O404" i="13"/>
  <c r="L122" i="14"/>
  <c r="L120" i="14" s="1"/>
  <c r="L118" i="14" s="1"/>
  <c r="O118" i="14" s="1"/>
  <c r="N252" i="14"/>
  <c r="N250" i="14" s="1"/>
  <c r="O406" i="14"/>
  <c r="O435" i="14"/>
  <c r="K573" i="14"/>
  <c r="K80" i="16"/>
  <c r="K375" i="16"/>
  <c r="K380" i="16"/>
  <c r="K401" i="16"/>
  <c r="K421" i="16"/>
  <c r="I367" i="17"/>
  <c r="K367" i="17" s="1"/>
  <c r="N33" i="17"/>
  <c r="N13" i="17" s="1"/>
  <c r="K562" i="17"/>
  <c r="L254" i="18"/>
  <c r="L252" i="18" s="1"/>
  <c r="L250" i="18" s="1"/>
  <c r="O457" i="18"/>
  <c r="O406" i="10"/>
  <c r="K499" i="10"/>
  <c r="K368" i="11"/>
  <c r="K402" i="11"/>
  <c r="K419" i="11"/>
  <c r="O435" i="11"/>
  <c r="K573" i="11"/>
  <c r="O601" i="11"/>
  <c r="K249" i="12"/>
  <c r="K397" i="12"/>
  <c r="K573" i="15"/>
  <c r="K372" i="16"/>
  <c r="O380" i="16"/>
  <c r="K426" i="16"/>
  <c r="O564" i="16"/>
  <c r="O347" i="17"/>
  <c r="N292" i="18"/>
  <c r="P292" i="18" s="1"/>
  <c r="K573" i="18"/>
  <c r="O601" i="18"/>
  <c r="O347" i="10"/>
  <c r="K416" i="10"/>
  <c r="K573" i="10"/>
  <c r="K201" i="11"/>
  <c r="K270" i="11"/>
  <c r="K343" i="11"/>
  <c r="K381" i="11"/>
  <c r="K473" i="11"/>
  <c r="K497" i="11"/>
  <c r="P122" i="12"/>
  <c r="L314" i="12"/>
  <c r="O314" i="12" s="1"/>
  <c r="K164" i="13"/>
  <c r="K285" i="13"/>
  <c r="K397" i="13"/>
  <c r="O457" i="13"/>
  <c r="O601" i="13"/>
  <c r="N26" i="14"/>
  <c r="N16" i="14" s="1"/>
  <c r="K229" i="14"/>
  <c r="L294" i="14"/>
  <c r="O294" i="14" s="1"/>
  <c r="O599" i="14"/>
  <c r="K628" i="14"/>
  <c r="K499" i="15"/>
  <c r="K451" i="16"/>
  <c r="O455" i="16"/>
  <c r="K615" i="16"/>
  <c r="K110" i="17"/>
  <c r="K219" i="17"/>
  <c r="N222" i="17"/>
  <c r="N220" i="17" s="1"/>
  <c r="K423" i="17"/>
  <c r="K431" i="17"/>
  <c r="K533" i="17"/>
  <c r="O553" i="17"/>
  <c r="K563" i="17"/>
  <c r="O566" i="17"/>
  <c r="K265" i="18"/>
  <c r="K270" i="18"/>
  <c r="K381" i="18"/>
  <c r="K595" i="18"/>
  <c r="L581" i="1"/>
  <c r="O581" i="1" s="1"/>
  <c r="O581" i="2"/>
  <c r="O551" i="4"/>
  <c r="L551" i="1"/>
  <c r="L49" i="1"/>
  <c r="O49" i="1" s="1"/>
  <c r="J474" i="1"/>
  <c r="O537" i="3"/>
  <c r="N537" i="1"/>
  <c r="L403" i="1"/>
  <c r="O403" i="1" s="1"/>
  <c r="O403" i="4"/>
  <c r="O597" i="4"/>
  <c r="L597" i="1"/>
  <c r="K401" i="5"/>
  <c r="I561" i="1"/>
  <c r="K561" i="4"/>
  <c r="K561" i="1" s="1"/>
  <c r="J92" i="1"/>
  <c r="L148" i="1"/>
  <c r="I158" i="1"/>
  <c r="J467" i="1"/>
  <c r="O437" i="3"/>
  <c r="N437" i="1"/>
  <c r="K511" i="3"/>
  <c r="I511" i="1"/>
  <c r="K511" i="1" s="1"/>
  <c r="N386" i="1"/>
  <c r="I396" i="1"/>
  <c r="K475" i="4"/>
  <c r="I475" i="1"/>
  <c r="K475" i="1" s="1"/>
  <c r="O567" i="4"/>
  <c r="L567" i="1"/>
  <c r="O567" i="1" s="1"/>
  <c r="K573" i="4"/>
  <c r="I573" i="1"/>
  <c r="K578" i="4"/>
  <c r="I578" i="1"/>
  <c r="K578" i="1" s="1"/>
  <c r="L458" i="1"/>
  <c r="O458" i="1" s="1"/>
  <c r="O458" i="2"/>
  <c r="I201" i="1"/>
  <c r="N224" i="1"/>
  <c r="L598" i="1"/>
  <c r="O598" i="1" s="1"/>
  <c r="O598" i="3"/>
  <c r="P45" i="5"/>
  <c r="M43" i="5"/>
  <c r="M41" i="5" s="1"/>
  <c r="K482" i="18"/>
  <c r="I482" i="1"/>
  <c r="L351" i="1"/>
  <c r="O351" i="1" s="1"/>
  <c r="K397" i="2"/>
  <c r="J397" i="1"/>
  <c r="N405" i="1"/>
  <c r="O552" i="2"/>
  <c r="L552" i="1"/>
  <c r="O552" i="1" s="1"/>
  <c r="K575" i="2"/>
  <c r="I575" i="1"/>
  <c r="K579" i="3"/>
  <c r="I579" i="1"/>
  <c r="K579" i="1" s="1"/>
  <c r="L582" i="1"/>
  <c r="L33" i="5"/>
  <c r="O33" i="5" s="1"/>
  <c r="O384" i="5"/>
  <c r="J65" i="1"/>
  <c r="L279" i="1"/>
  <c r="O279" i="1" s="1"/>
  <c r="O565" i="3"/>
  <c r="L565" i="1"/>
  <c r="O565" i="1" s="1"/>
  <c r="O438" i="4"/>
  <c r="L438" i="1"/>
  <c r="O438" i="1" s="1"/>
  <c r="O455" i="4"/>
  <c r="L455" i="1"/>
  <c r="K450" i="2"/>
  <c r="I450" i="1"/>
  <c r="O298" i="8"/>
  <c r="L26" i="8"/>
  <c r="L16" i="8" s="1"/>
  <c r="K629" i="8"/>
  <c r="I629" i="1"/>
  <c r="I80" i="1"/>
  <c r="L599" i="1"/>
  <c r="N604" i="1"/>
  <c r="I612" i="1"/>
  <c r="I616" i="1"/>
  <c r="K620" i="2"/>
  <c r="K623" i="2"/>
  <c r="I620" i="1"/>
  <c r="K497" i="3"/>
  <c r="J497" i="1"/>
  <c r="J501" i="1"/>
  <c r="O553" i="3"/>
  <c r="L553" i="1"/>
  <c r="K501" i="4"/>
  <c r="I501" i="1"/>
  <c r="K501" i="1" s="1"/>
  <c r="K505" i="4"/>
  <c r="I505" i="1"/>
  <c r="K505" i="1" s="1"/>
  <c r="J349" i="1"/>
  <c r="I489" i="1"/>
  <c r="K489" i="1" s="1"/>
  <c r="M55" i="2"/>
  <c r="M53" i="2" s="1"/>
  <c r="P57" i="2"/>
  <c r="K504" i="2"/>
  <c r="I504" i="1"/>
  <c r="K504" i="1" s="1"/>
  <c r="K593" i="2"/>
  <c r="I593" i="1"/>
  <c r="K593" i="1" s="1"/>
  <c r="K482" i="3"/>
  <c r="J482" i="1"/>
  <c r="J486" i="1"/>
  <c r="K551" i="3"/>
  <c r="I551" i="1"/>
  <c r="K419" i="4"/>
  <c r="I419" i="1"/>
  <c r="K427" i="4"/>
  <c r="I427" i="1"/>
  <c r="K416" i="5"/>
  <c r="I416" i="1"/>
  <c r="K420" i="5"/>
  <c r="I420" i="1"/>
  <c r="K428" i="5"/>
  <c r="I428" i="1"/>
  <c r="K432" i="5"/>
  <c r="I432" i="1"/>
  <c r="O436" i="5"/>
  <c r="L436" i="1"/>
  <c r="O436" i="1" s="1"/>
  <c r="N55" i="2"/>
  <c r="N53" i="2" s="1"/>
  <c r="K380" i="2"/>
  <c r="K449" i="2"/>
  <c r="K466" i="2"/>
  <c r="J577" i="1"/>
  <c r="J634" i="1"/>
  <c r="K138" i="3"/>
  <c r="N388" i="1"/>
  <c r="J401" i="1"/>
  <c r="N404" i="1"/>
  <c r="N409" i="1"/>
  <c r="K474" i="3"/>
  <c r="K481" i="3"/>
  <c r="K533" i="3"/>
  <c r="O49" i="4"/>
  <c r="P98" i="4"/>
  <c r="N120" i="4"/>
  <c r="N118" i="4" s="1"/>
  <c r="K349" i="4"/>
  <c r="K377" i="4"/>
  <c r="K422" i="4"/>
  <c r="K430" i="4"/>
  <c r="K474" i="4"/>
  <c r="O533" i="4"/>
  <c r="K560" i="4"/>
  <c r="O566" i="4"/>
  <c r="N33" i="4"/>
  <c r="N13" i="4" s="1"/>
  <c r="K589" i="4"/>
  <c r="K597" i="4"/>
  <c r="K633" i="4"/>
  <c r="K173" i="5"/>
  <c r="K235" i="5"/>
  <c r="O383" i="5"/>
  <c r="K423" i="5"/>
  <c r="K427" i="5"/>
  <c r="O435" i="5"/>
  <c r="O439" i="5"/>
  <c r="K499" i="5"/>
  <c r="K424" i="11"/>
  <c r="M45" i="1"/>
  <c r="O383" i="2"/>
  <c r="K418" i="2"/>
  <c r="K422" i="2"/>
  <c r="K425" i="2"/>
  <c r="I474" i="1"/>
  <c r="O535" i="2"/>
  <c r="O564" i="2"/>
  <c r="P254" i="3"/>
  <c r="J321" i="1"/>
  <c r="K450" i="3"/>
  <c r="K455" i="3"/>
  <c r="O568" i="3"/>
  <c r="K81" i="4"/>
  <c r="L98" i="4"/>
  <c r="O98" i="4" s="1"/>
  <c r="K112" i="4"/>
  <c r="L122" i="4"/>
  <c r="O122" i="4" s="1"/>
  <c r="K173" i="4"/>
  <c r="K216" i="4"/>
  <c r="K345" i="4"/>
  <c r="O406" i="4"/>
  <c r="K497" i="4"/>
  <c r="J504" i="1"/>
  <c r="N580" i="1"/>
  <c r="N96" i="5"/>
  <c r="N94" i="5" s="1"/>
  <c r="P102" i="5"/>
  <c r="K133" i="5"/>
  <c r="J189" i="1"/>
  <c r="M292" i="5"/>
  <c r="P292" i="5" s="1"/>
  <c r="J306" i="1"/>
  <c r="P333" i="5"/>
  <c r="O347" i="5"/>
  <c r="O533" i="5"/>
  <c r="O382" i="10"/>
  <c r="L31" i="10"/>
  <c r="O31" i="10" s="1"/>
  <c r="K474" i="11"/>
  <c r="K189" i="2"/>
  <c r="L224" i="2"/>
  <c r="O224" i="2" s="1"/>
  <c r="L294" i="2"/>
  <c r="O294" i="2" s="1"/>
  <c r="K343" i="2"/>
  <c r="N458" i="1"/>
  <c r="I464" i="1"/>
  <c r="J507" i="1"/>
  <c r="N70" i="1"/>
  <c r="J115" i="1"/>
  <c r="M273" i="3"/>
  <c r="M271" i="3" s="1"/>
  <c r="K341" i="3"/>
  <c r="O380" i="3"/>
  <c r="N31" i="3"/>
  <c r="K614" i="3"/>
  <c r="K618" i="3"/>
  <c r="J622" i="1"/>
  <c r="P45" i="4"/>
  <c r="K64" i="4"/>
  <c r="P102" i="4"/>
  <c r="K158" i="4"/>
  <c r="N298" i="1"/>
  <c r="I380" i="1"/>
  <c r="K416" i="4"/>
  <c r="K547" i="4"/>
  <c r="I618" i="1"/>
  <c r="N68" i="5"/>
  <c r="N66" i="5" s="1"/>
  <c r="K93" i="5"/>
  <c r="M96" i="5"/>
  <c r="M94" i="5" s="1"/>
  <c r="K110" i="5"/>
  <c r="N142" i="5"/>
  <c r="N140" i="5" s="1"/>
  <c r="K158" i="5"/>
  <c r="L333" i="5"/>
  <c r="L331" i="5" s="1"/>
  <c r="O404" i="5"/>
  <c r="O457" i="5"/>
  <c r="K401" i="8"/>
  <c r="K267" i="11"/>
  <c r="K117" i="2"/>
  <c r="J339" i="1"/>
  <c r="K402" i="2"/>
  <c r="K482" i="2"/>
  <c r="J590" i="1"/>
  <c r="K629" i="2"/>
  <c r="K632" i="2"/>
  <c r="K370" i="3"/>
  <c r="K418" i="3"/>
  <c r="K426" i="3"/>
  <c r="K435" i="3"/>
  <c r="K498" i="3"/>
  <c r="J231" i="1"/>
  <c r="N312" i="4"/>
  <c r="N310" i="4" s="1"/>
  <c r="N601" i="1"/>
  <c r="L32" i="5"/>
  <c r="N26" i="6"/>
  <c r="N16" i="6" s="1"/>
  <c r="L32" i="8"/>
  <c r="L30" i="8" s="1"/>
  <c r="K173" i="10"/>
  <c r="P144" i="13"/>
  <c r="M142" i="13"/>
  <c r="M140" i="13" s="1"/>
  <c r="J194" i="1"/>
  <c r="N333" i="1"/>
  <c r="K340" i="2"/>
  <c r="L32" i="2"/>
  <c r="L30" i="2" s="1"/>
  <c r="K381" i="2"/>
  <c r="K416" i="2"/>
  <c r="O435" i="2"/>
  <c r="J613" i="1"/>
  <c r="L72" i="1"/>
  <c r="N32" i="3"/>
  <c r="N30" i="3" s="1"/>
  <c r="K423" i="3"/>
  <c r="O435" i="3"/>
  <c r="K465" i="3"/>
  <c r="O566" i="3"/>
  <c r="K619" i="3"/>
  <c r="J628" i="1"/>
  <c r="K65" i="4"/>
  <c r="P70" i="4"/>
  <c r="K87" i="4"/>
  <c r="K110" i="4"/>
  <c r="M120" i="4"/>
  <c r="P120" i="4" s="1"/>
  <c r="K186" i="4"/>
  <c r="K219" i="4"/>
  <c r="N222" i="4"/>
  <c r="N220" i="4" s="1"/>
  <c r="N331" i="4"/>
  <c r="N329" i="4" s="1"/>
  <c r="N34" i="4"/>
  <c r="N14" i="4" s="1"/>
  <c r="K397" i="4"/>
  <c r="K533" i="4"/>
  <c r="O568" i="4"/>
  <c r="K618" i="4"/>
  <c r="L45" i="5"/>
  <c r="O45" i="5" s="1"/>
  <c r="N55" i="5"/>
  <c r="N53" i="5" s="1"/>
  <c r="K497" i="5"/>
  <c r="O337" i="7"/>
  <c r="M337" i="7"/>
  <c r="P337" i="7" s="1"/>
  <c r="P254" i="12"/>
  <c r="M252" i="12"/>
  <c r="M250" i="12" s="1"/>
  <c r="K158" i="2"/>
  <c r="L254" i="2"/>
  <c r="O254" i="2" s="1"/>
  <c r="N403" i="1"/>
  <c r="K591" i="2"/>
  <c r="I630" i="1"/>
  <c r="N273" i="3"/>
  <c r="N271" i="3" s="1"/>
  <c r="J520" i="1"/>
  <c r="J524" i="1"/>
  <c r="J528" i="1"/>
  <c r="J532" i="1"/>
  <c r="N535" i="1"/>
  <c r="J564" i="1"/>
  <c r="O580" i="3"/>
  <c r="K593" i="3"/>
  <c r="K597" i="3"/>
  <c r="N605" i="1"/>
  <c r="N55" i="4"/>
  <c r="P55" i="4" s="1"/>
  <c r="K204" i="4"/>
  <c r="K425" i="4"/>
  <c r="K473" i="4"/>
  <c r="O599" i="4"/>
  <c r="K632" i="4"/>
  <c r="L98" i="5"/>
  <c r="O98" i="5" s="1"/>
  <c r="K117" i="5"/>
  <c r="N120" i="5"/>
  <c r="N118" i="5" s="1"/>
  <c r="L224" i="5"/>
  <c r="O224" i="5" s="1"/>
  <c r="K270" i="5"/>
  <c r="N34" i="5"/>
  <c r="N14" i="5" s="1"/>
  <c r="K435" i="5"/>
  <c r="O455" i="5"/>
  <c r="K498" i="5"/>
  <c r="K424" i="7"/>
  <c r="K427" i="11"/>
  <c r="J236" i="1"/>
  <c r="J287" i="1"/>
  <c r="L31" i="2"/>
  <c r="L11" i="2" s="1"/>
  <c r="J515" i="1"/>
  <c r="J453" i="1"/>
  <c r="L457" i="1"/>
  <c r="N461" i="1"/>
  <c r="J470" i="1"/>
  <c r="O354" i="8"/>
  <c r="L34" i="8"/>
  <c r="K632" i="11"/>
  <c r="K285" i="7"/>
  <c r="K349" i="7"/>
  <c r="K381" i="7"/>
  <c r="K158" i="8"/>
  <c r="L34" i="10"/>
  <c r="N33" i="10"/>
  <c r="N13" i="10" s="1"/>
  <c r="K200" i="11"/>
  <c r="L224" i="11"/>
  <c r="L222" i="11" s="1"/>
  <c r="L275" i="11"/>
  <c r="L273" i="11" s="1"/>
  <c r="L271" i="11" s="1"/>
  <c r="K285" i="11"/>
  <c r="L314" i="11"/>
  <c r="L312" i="11" s="1"/>
  <c r="L310" i="11" s="1"/>
  <c r="O310" i="11" s="1"/>
  <c r="K376" i="11"/>
  <c r="O437" i="11"/>
  <c r="O457" i="11"/>
  <c r="K466" i="11"/>
  <c r="K563" i="11"/>
  <c r="K613" i="11"/>
  <c r="K628" i="11"/>
  <c r="O102" i="12"/>
  <c r="L144" i="12"/>
  <c r="O144" i="12" s="1"/>
  <c r="K200" i="12"/>
  <c r="O354" i="12"/>
  <c r="K368" i="12"/>
  <c r="K376" i="12"/>
  <c r="K429" i="12"/>
  <c r="K450" i="12"/>
  <c r="K455" i="12"/>
  <c r="K464" i="12"/>
  <c r="K497" i="12"/>
  <c r="N34" i="13"/>
  <c r="N14" i="13" s="1"/>
  <c r="O537" i="5"/>
  <c r="K189" i="6"/>
  <c r="K368" i="6"/>
  <c r="K375" i="6"/>
  <c r="K380" i="6"/>
  <c r="O401" i="6"/>
  <c r="K417" i="6"/>
  <c r="K429" i="6"/>
  <c r="O437" i="6"/>
  <c r="O533" i="6"/>
  <c r="K138" i="7"/>
  <c r="K370" i="7"/>
  <c r="K416" i="7"/>
  <c r="K427" i="7"/>
  <c r="K431" i="7"/>
  <c r="K481" i="7"/>
  <c r="K563" i="7"/>
  <c r="K380" i="8"/>
  <c r="K430" i="8"/>
  <c r="O455" i="8"/>
  <c r="K533" i="8"/>
  <c r="O564" i="8"/>
  <c r="P45" i="9"/>
  <c r="L70" i="9"/>
  <c r="L275" i="9"/>
  <c r="O275" i="9" s="1"/>
  <c r="O380" i="9"/>
  <c r="K418" i="9"/>
  <c r="K422" i="9"/>
  <c r="K474" i="9"/>
  <c r="K482" i="9"/>
  <c r="N34" i="9"/>
  <c r="N14" i="9" s="1"/>
  <c r="K614" i="9"/>
  <c r="K635" i="9"/>
  <c r="K64" i="10"/>
  <c r="P314" i="10"/>
  <c r="K345" i="10"/>
  <c r="O459" i="10"/>
  <c r="K465" i="10"/>
  <c r="K591" i="10"/>
  <c r="O597" i="10"/>
  <c r="O601" i="10"/>
  <c r="K84" i="11"/>
  <c r="N252" i="11"/>
  <c r="N250" i="11" s="1"/>
  <c r="N32" i="11"/>
  <c r="N30" i="11" s="1"/>
  <c r="K435" i="11"/>
  <c r="K455" i="11"/>
  <c r="O566" i="11"/>
  <c r="K589" i="11"/>
  <c r="K164" i="12"/>
  <c r="N292" i="12"/>
  <c r="N290" i="12" s="1"/>
  <c r="I367" i="12"/>
  <c r="K367" i="12" s="1"/>
  <c r="K402" i="12"/>
  <c r="K422" i="12"/>
  <c r="K430" i="12"/>
  <c r="K435" i="12"/>
  <c r="K622" i="12"/>
  <c r="K626" i="12"/>
  <c r="K623" i="12"/>
  <c r="P122" i="14"/>
  <c r="M120" i="14"/>
  <c r="P120" i="14" s="1"/>
  <c r="L34" i="16"/>
  <c r="O385" i="16"/>
  <c r="O584" i="16"/>
  <c r="K547" i="5"/>
  <c r="O580" i="5"/>
  <c r="P333" i="6"/>
  <c r="K372" i="6"/>
  <c r="K376" i="6"/>
  <c r="K430" i="6"/>
  <c r="L24" i="7"/>
  <c r="O24" i="7" s="1"/>
  <c r="O580" i="7"/>
  <c r="O584" i="7"/>
  <c r="K597" i="7"/>
  <c r="K82" i="8"/>
  <c r="P122" i="8"/>
  <c r="K219" i="8"/>
  <c r="O380" i="8"/>
  <c r="O459" i="8"/>
  <c r="O568" i="8"/>
  <c r="O584" i="8"/>
  <c r="O599" i="8"/>
  <c r="K633" i="8"/>
  <c r="K328" i="9"/>
  <c r="O406" i="9"/>
  <c r="K423" i="9"/>
  <c r="K455" i="9"/>
  <c r="K464" i="9"/>
  <c r="O535" i="9"/>
  <c r="K564" i="9"/>
  <c r="K573" i="9"/>
  <c r="K595" i="9"/>
  <c r="N31" i="9"/>
  <c r="K628" i="9"/>
  <c r="N55" i="10"/>
  <c r="N53" i="10" s="1"/>
  <c r="P275" i="10"/>
  <c r="K431" i="10"/>
  <c r="K497" i="10"/>
  <c r="O537" i="10"/>
  <c r="M55" i="11"/>
  <c r="M53" i="11" s="1"/>
  <c r="M222" i="11"/>
  <c r="M220" i="11" s="1"/>
  <c r="N331" i="11"/>
  <c r="N329" i="11" s="1"/>
  <c r="L45" i="12"/>
  <c r="O45" i="12" s="1"/>
  <c r="K92" i="12"/>
  <c r="M142" i="12"/>
  <c r="M140" i="12" s="1"/>
  <c r="N31" i="12"/>
  <c r="N29" i="12" s="1"/>
  <c r="O459" i="12"/>
  <c r="K465" i="12"/>
  <c r="O581" i="16"/>
  <c r="L31" i="16"/>
  <c r="O31" i="16" s="1"/>
  <c r="M312" i="17"/>
  <c r="P312" i="17" s="1"/>
  <c r="P314" i="17"/>
  <c r="I625" i="1"/>
  <c r="N33" i="6"/>
  <c r="N13" i="6" s="1"/>
  <c r="K65" i="7"/>
  <c r="K216" i="7"/>
  <c r="K450" i="7"/>
  <c r="K455" i="7"/>
  <c r="K266" i="8"/>
  <c r="N331" i="8"/>
  <c r="N329" i="8" s="1"/>
  <c r="N32" i="8"/>
  <c r="N30" i="8" s="1"/>
  <c r="O439" i="8"/>
  <c r="K473" i="8"/>
  <c r="O533" i="8"/>
  <c r="N34" i="8"/>
  <c r="N14" i="8" s="1"/>
  <c r="L224" i="9"/>
  <c r="O224" i="9" s="1"/>
  <c r="N252" i="9"/>
  <c r="N250" i="9" s="1"/>
  <c r="L275" i="10"/>
  <c r="L273" i="10" s="1"/>
  <c r="K564" i="10"/>
  <c r="K64" i="11"/>
  <c r="K138" i="11"/>
  <c r="K265" i="11"/>
  <c r="M312" i="11"/>
  <c r="M310" i="11" s="1"/>
  <c r="P310" i="11" s="1"/>
  <c r="O347" i="11"/>
  <c r="O406" i="11"/>
  <c r="O535" i="11"/>
  <c r="N96" i="12"/>
  <c r="N94" i="12" s="1"/>
  <c r="M273" i="12"/>
  <c r="M271" i="12" s="1"/>
  <c r="N273" i="12"/>
  <c r="N271" i="12" s="1"/>
  <c r="K349" i="12"/>
  <c r="O352" i="12"/>
  <c r="O385" i="12"/>
  <c r="K80" i="15"/>
  <c r="K425" i="15"/>
  <c r="N33" i="18"/>
  <c r="N13" i="18" s="1"/>
  <c r="O568" i="5"/>
  <c r="K81" i="6"/>
  <c r="K431" i="6"/>
  <c r="K618" i="6"/>
  <c r="K87" i="7"/>
  <c r="K270" i="7"/>
  <c r="K343" i="7"/>
  <c r="K418" i="7"/>
  <c r="K422" i="7"/>
  <c r="N33" i="7"/>
  <c r="N13" i="7" s="1"/>
  <c r="N34" i="7"/>
  <c r="N14" i="7" s="1"/>
  <c r="O564" i="7"/>
  <c r="O597" i="7"/>
  <c r="N273" i="8"/>
  <c r="N271" i="8" s="1"/>
  <c r="K349" i="8"/>
  <c r="K398" i="8"/>
  <c r="K341" i="9"/>
  <c r="N32" i="9"/>
  <c r="N30" i="9" s="1"/>
  <c r="O459" i="9"/>
  <c r="K465" i="9"/>
  <c r="O568" i="14"/>
  <c r="L34" i="14"/>
  <c r="O552" i="17"/>
  <c r="L31" i="17"/>
  <c r="O31" i="17" s="1"/>
  <c r="N120" i="6"/>
  <c r="N118" i="6" s="1"/>
  <c r="K199" i="6"/>
  <c r="P224" i="6"/>
  <c r="K370" i="6"/>
  <c r="K497" i="6"/>
  <c r="L34" i="7"/>
  <c r="K372" i="7"/>
  <c r="K451" i="7"/>
  <c r="O455" i="7"/>
  <c r="K80" i="8"/>
  <c r="K93" i="8"/>
  <c r="K132" i="8"/>
  <c r="K249" i="8"/>
  <c r="K402" i="8"/>
  <c r="O566" i="8"/>
  <c r="K580" i="8"/>
  <c r="K631" i="8"/>
  <c r="N26" i="9"/>
  <c r="N16" i="9" s="1"/>
  <c r="L24" i="9"/>
  <c r="O24" i="9" s="1"/>
  <c r="N222" i="10"/>
  <c r="N220" i="10" s="1"/>
  <c r="K340" i="10"/>
  <c r="K432" i="10"/>
  <c r="O580" i="10"/>
  <c r="K620" i="10"/>
  <c r="K629" i="10"/>
  <c r="K173" i="11"/>
  <c r="K219" i="11"/>
  <c r="N222" i="11"/>
  <c r="N220" i="11" s="1"/>
  <c r="K345" i="11"/>
  <c r="K375" i="11"/>
  <c r="K380" i="11"/>
  <c r="K465" i="11"/>
  <c r="K533" i="11"/>
  <c r="O597" i="11"/>
  <c r="K108" i="12"/>
  <c r="N142" i="12"/>
  <c r="N140" i="12" s="1"/>
  <c r="K199" i="12"/>
  <c r="K270" i="12"/>
  <c r="O404" i="12"/>
  <c r="M68" i="13"/>
  <c r="P68" i="13" s="1"/>
  <c r="P70" i="13"/>
  <c r="O458" i="13"/>
  <c r="L33" i="13"/>
  <c r="O33" i="13" s="1"/>
  <c r="K498" i="14"/>
  <c r="O349" i="6"/>
  <c r="K416" i="6"/>
  <c r="K428" i="6"/>
  <c r="O455" i="6"/>
  <c r="K435" i="7"/>
  <c r="N32" i="7"/>
  <c r="N30" i="7" s="1"/>
  <c r="K562" i="7"/>
  <c r="K88" i="8"/>
  <c r="O385" i="8"/>
  <c r="K419" i="8"/>
  <c r="K423" i="8"/>
  <c r="O437" i="8"/>
  <c r="K481" i="8"/>
  <c r="N120" i="9"/>
  <c r="N118" i="9" s="1"/>
  <c r="P294" i="9"/>
  <c r="K417" i="9"/>
  <c r="K421" i="9"/>
  <c r="K425" i="9"/>
  <c r="K429" i="9"/>
  <c r="K432" i="9"/>
  <c r="O439" i="9"/>
  <c r="K466" i="9"/>
  <c r="K473" i="9"/>
  <c r="K499" i="9"/>
  <c r="K634" i="9"/>
  <c r="K481" i="10"/>
  <c r="K533" i="10"/>
  <c r="N32" i="10"/>
  <c r="N30" i="10" s="1"/>
  <c r="P70" i="11"/>
  <c r="O598" i="13"/>
  <c r="L31" i="13"/>
  <c r="O31" i="13" s="1"/>
  <c r="O568" i="12"/>
  <c r="K426" i="13"/>
  <c r="K430" i="13"/>
  <c r="O582" i="13"/>
  <c r="N43" i="14"/>
  <c r="N41" i="14" s="1"/>
  <c r="K328" i="14"/>
  <c r="L333" i="14"/>
  <c r="L331" i="14" s="1"/>
  <c r="K370" i="14"/>
  <c r="K416" i="14"/>
  <c r="K455" i="14"/>
  <c r="K595" i="14"/>
  <c r="K630" i="14"/>
  <c r="L224" i="15"/>
  <c r="O224" i="15" s="1"/>
  <c r="K343" i="15"/>
  <c r="K377" i="15"/>
  <c r="K418" i="15"/>
  <c r="K481" i="15"/>
  <c r="O568" i="15"/>
  <c r="K630" i="15"/>
  <c r="N55" i="16"/>
  <c r="N53" i="16" s="1"/>
  <c r="N68" i="16"/>
  <c r="N66" i="16" s="1"/>
  <c r="L333" i="16"/>
  <c r="L331" i="16" s="1"/>
  <c r="L329" i="16" s="1"/>
  <c r="O349" i="16"/>
  <c r="I367" i="16"/>
  <c r="K367" i="16" s="1"/>
  <c r="O406" i="16"/>
  <c r="K435" i="16"/>
  <c r="O535" i="16"/>
  <c r="K631" i="16"/>
  <c r="K634" i="16"/>
  <c r="K199" i="17"/>
  <c r="L224" i="17"/>
  <c r="O224" i="17" s="1"/>
  <c r="K266" i="17"/>
  <c r="K341" i="17"/>
  <c r="K345" i="17"/>
  <c r="K349" i="17"/>
  <c r="K369" i="17"/>
  <c r="O406" i="17"/>
  <c r="K426" i="17"/>
  <c r="K497" i="17"/>
  <c r="L32" i="18"/>
  <c r="L30" i="18" s="1"/>
  <c r="L45" i="18"/>
  <c r="L43" i="18" s="1"/>
  <c r="N68" i="18"/>
  <c r="N66" i="18" s="1"/>
  <c r="K219" i="18"/>
  <c r="K267" i="18"/>
  <c r="L275" i="18"/>
  <c r="O275" i="18" s="1"/>
  <c r="K285" i="18"/>
  <c r="K380" i="18"/>
  <c r="O435" i="18"/>
  <c r="O580" i="18"/>
  <c r="K629" i="18"/>
  <c r="N33" i="12"/>
  <c r="N13" i="12" s="1"/>
  <c r="K617" i="12"/>
  <c r="K629" i="12"/>
  <c r="K132" i="13"/>
  <c r="L144" i="13"/>
  <c r="L142" i="13" s="1"/>
  <c r="O459" i="13"/>
  <c r="K465" i="14"/>
  <c r="K473" i="14"/>
  <c r="K138" i="15"/>
  <c r="K285" i="15"/>
  <c r="N26" i="15"/>
  <c r="N16" i="15" s="1"/>
  <c r="N31" i="15"/>
  <c r="N11" i="15" s="1"/>
  <c r="N9" i="15" s="1"/>
  <c r="O385" i="15"/>
  <c r="K482" i="15"/>
  <c r="K149" i="16"/>
  <c r="N273" i="14"/>
  <c r="N271" i="14" s="1"/>
  <c r="K417" i="14"/>
  <c r="N252" i="15"/>
  <c r="N250" i="15" s="1"/>
  <c r="M312" i="15"/>
  <c r="P312" i="15" s="1"/>
  <c r="K368" i="16"/>
  <c r="K416" i="16"/>
  <c r="K431" i="16"/>
  <c r="K473" i="16"/>
  <c r="K635" i="16"/>
  <c r="M68" i="17"/>
  <c r="P68" i="17" s="1"/>
  <c r="O122" i="17"/>
  <c r="K189" i="17"/>
  <c r="K200" i="18"/>
  <c r="K340" i="18"/>
  <c r="K417" i="18"/>
  <c r="K432" i="18"/>
  <c r="O459" i="18"/>
  <c r="K497" i="18"/>
  <c r="O537" i="12"/>
  <c r="K630" i="12"/>
  <c r="N43" i="13"/>
  <c r="N41" i="13" s="1"/>
  <c r="K133" i="13"/>
  <c r="K158" i="13"/>
  <c r="K345" i="13"/>
  <c r="O349" i="13"/>
  <c r="K401" i="13"/>
  <c r="K428" i="13"/>
  <c r="K465" i="13"/>
  <c r="L26" i="14"/>
  <c r="L16" i="14" s="1"/>
  <c r="P98" i="14"/>
  <c r="P224" i="14"/>
  <c r="O380" i="14"/>
  <c r="K466" i="14"/>
  <c r="K474" i="14"/>
  <c r="K482" i="14"/>
  <c r="O537" i="14"/>
  <c r="K593" i="14"/>
  <c r="K65" i="15"/>
  <c r="N96" i="15"/>
  <c r="N94" i="15" s="1"/>
  <c r="K117" i="15"/>
  <c r="K189" i="15"/>
  <c r="K416" i="15"/>
  <c r="K427" i="15"/>
  <c r="K626" i="15"/>
  <c r="K635" i="15"/>
  <c r="P57" i="16"/>
  <c r="L275" i="16"/>
  <c r="O275" i="16" s="1"/>
  <c r="K343" i="16"/>
  <c r="K428" i="16"/>
  <c r="O439" i="16"/>
  <c r="K499" i="16"/>
  <c r="K580" i="16"/>
  <c r="K591" i="16"/>
  <c r="K632" i="16"/>
  <c r="M102" i="17"/>
  <c r="M26" i="17" s="1"/>
  <c r="L144" i="17"/>
  <c r="O144" i="17" s="1"/>
  <c r="K185" i="17"/>
  <c r="L314" i="17"/>
  <c r="O314" i="17" s="1"/>
  <c r="K420" i="17"/>
  <c r="K424" i="17"/>
  <c r="K481" i="17"/>
  <c r="K551" i="17"/>
  <c r="K560" i="17"/>
  <c r="K564" i="17"/>
  <c r="K81" i="18"/>
  <c r="K113" i="18"/>
  <c r="K418" i="18"/>
  <c r="K449" i="18"/>
  <c r="K498" i="18"/>
  <c r="O568" i="18"/>
  <c r="K591" i="18"/>
  <c r="O597" i="18"/>
  <c r="K634" i="18"/>
  <c r="N31" i="14"/>
  <c r="N29" i="14" s="1"/>
  <c r="K547" i="12"/>
  <c r="K563" i="12"/>
  <c r="K611" i="12"/>
  <c r="K343" i="13"/>
  <c r="K376" i="13"/>
  <c r="O401" i="13"/>
  <c r="N33" i="13"/>
  <c r="N13" i="13" s="1"/>
  <c r="K474" i="13"/>
  <c r="K377" i="14"/>
  <c r="K381" i="14"/>
  <c r="K547" i="14"/>
  <c r="O551" i="14"/>
  <c r="O555" i="14"/>
  <c r="O584" i="14"/>
  <c r="K597" i="14"/>
  <c r="P70" i="15"/>
  <c r="O148" i="15"/>
  <c r="K341" i="15"/>
  <c r="O349" i="15"/>
  <c r="K372" i="15"/>
  <c r="K376" i="15"/>
  <c r="K428" i="15"/>
  <c r="K432" i="15"/>
  <c r="O537" i="15"/>
  <c r="K563" i="15"/>
  <c r="L57" i="16"/>
  <c r="O57" i="16" s="1"/>
  <c r="M94" i="16"/>
  <c r="P94" i="16" s="1"/>
  <c r="N222" i="16"/>
  <c r="N220" i="16" s="1"/>
  <c r="N312" i="16"/>
  <c r="N310" i="16" s="1"/>
  <c r="K340" i="16"/>
  <c r="K418" i="16"/>
  <c r="K449" i="16"/>
  <c r="O457" i="16"/>
  <c r="O566" i="16"/>
  <c r="O580" i="16"/>
  <c r="K618" i="16"/>
  <c r="N120" i="17"/>
  <c r="P120" i="17" s="1"/>
  <c r="K425" i="17"/>
  <c r="K547" i="17"/>
  <c r="O568" i="17"/>
  <c r="K86" i="18"/>
  <c r="K92" i="18"/>
  <c r="K110" i="18"/>
  <c r="P224" i="18"/>
  <c r="P294" i="18"/>
  <c r="K309" i="18"/>
  <c r="P314" i="18"/>
  <c r="K450" i="18"/>
  <c r="K466" i="18"/>
  <c r="K481" i="18"/>
  <c r="K635" i="18"/>
  <c r="K573" i="12"/>
  <c r="L98" i="13"/>
  <c r="O98" i="13" s="1"/>
  <c r="L275" i="13"/>
  <c r="L273" i="13" s="1"/>
  <c r="L271" i="13" s="1"/>
  <c r="K422" i="13"/>
  <c r="K455" i="13"/>
  <c r="O535" i="13"/>
  <c r="O564" i="13"/>
  <c r="K112" i="14"/>
  <c r="P333" i="14"/>
  <c r="O597" i="14"/>
  <c r="K624" i="14"/>
  <c r="L70" i="15"/>
  <c r="L68" i="15" s="1"/>
  <c r="K270" i="15"/>
  <c r="L294" i="15"/>
  <c r="O294" i="15" s="1"/>
  <c r="L314" i="15"/>
  <c r="L312" i="15" s="1"/>
  <c r="K350" i="15"/>
  <c r="K421" i="15"/>
  <c r="N34" i="15"/>
  <c r="N14" i="15" s="1"/>
  <c r="K547" i="15"/>
  <c r="K564" i="15"/>
  <c r="K629" i="15"/>
  <c r="P49" i="16"/>
  <c r="K173" i="16"/>
  <c r="K328" i="16"/>
  <c r="K564" i="16"/>
  <c r="K149" i="17"/>
  <c r="L294" i="17"/>
  <c r="O294" i="17" s="1"/>
  <c r="O601" i="17"/>
  <c r="K64" i="18"/>
  <c r="K149" i="18"/>
  <c r="L294" i="18"/>
  <c r="O294" i="18" s="1"/>
  <c r="K304" i="18"/>
  <c r="L314" i="18"/>
  <c r="O314" i="18" s="1"/>
  <c r="K324" i="18"/>
  <c r="K423" i="18"/>
  <c r="K427" i="18"/>
  <c r="K563" i="18"/>
  <c r="K580" i="18"/>
  <c r="K624" i="3"/>
  <c r="K620" i="3"/>
  <c r="L74" i="1"/>
  <c r="I81" i="1"/>
  <c r="I186" i="1"/>
  <c r="I309" i="1"/>
  <c r="N142" i="2"/>
  <c r="N140" i="2" s="1"/>
  <c r="K149" i="2"/>
  <c r="K622" i="2"/>
  <c r="K624" i="2"/>
  <c r="K621" i="2"/>
  <c r="P314" i="3"/>
  <c r="M312" i="3"/>
  <c r="P312" i="3" s="1"/>
  <c r="N26" i="4"/>
  <c r="N16" i="4" s="1"/>
  <c r="N292" i="4"/>
  <c r="I88" i="1"/>
  <c r="L228" i="1"/>
  <c r="O228" i="1" s="1"/>
  <c r="J402" i="1"/>
  <c r="J466" i="1"/>
  <c r="I485" i="1"/>
  <c r="K485" i="1" s="1"/>
  <c r="I597" i="1"/>
  <c r="K464" i="2"/>
  <c r="K380" i="4"/>
  <c r="L61" i="1"/>
  <c r="O61" i="1" s="1"/>
  <c r="I213" i="1"/>
  <c r="J381" i="1"/>
  <c r="N33" i="2"/>
  <c r="N13" i="2" s="1"/>
  <c r="M142" i="2"/>
  <c r="M140" i="2" s="1"/>
  <c r="P144" i="2"/>
  <c r="K594" i="2"/>
  <c r="I594" i="1"/>
  <c r="K594" i="1" s="1"/>
  <c r="N33" i="3"/>
  <c r="N13" i="3" s="1"/>
  <c r="N142" i="4"/>
  <c r="N140" i="4" s="1"/>
  <c r="P144" i="4"/>
  <c r="M292" i="4"/>
  <c r="M290" i="4" s="1"/>
  <c r="P290" i="4" s="1"/>
  <c r="P294" i="4"/>
  <c r="L30" i="5"/>
  <c r="O384" i="6"/>
  <c r="L33" i="6"/>
  <c r="O33" i="6" s="1"/>
  <c r="I426" i="1"/>
  <c r="I430" i="1"/>
  <c r="M68" i="2"/>
  <c r="P68" i="2" s="1"/>
  <c r="P70" i="2"/>
  <c r="L26" i="3"/>
  <c r="L16" i="3" s="1"/>
  <c r="K465" i="4"/>
  <c r="N292" i="5"/>
  <c r="N290" i="5" s="1"/>
  <c r="L23" i="6"/>
  <c r="O23" i="6" s="1"/>
  <c r="L98" i="6"/>
  <c r="O98" i="6" s="1"/>
  <c r="M43" i="2"/>
  <c r="P45" i="2"/>
  <c r="I108" i="1"/>
  <c r="I112" i="1"/>
  <c r="L298" i="1"/>
  <c r="O298" i="1" s="1"/>
  <c r="L352" i="1"/>
  <c r="I370" i="1"/>
  <c r="I495" i="1"/>
  <c r="K495" i="1" s="1"/>
  <c r="O405" i="4"/>
  <c r="L33" i="4"/>
  <c r="O33" i="4" s="1"/>
  <c r="O456" i="3"/>
  <c r="L31" i="3"/>
  <c r="O31" i="3" s="1"/>
  <c r="O554" i="3"/>
  <c r="L33" i="3"/>
  <c r="O33" i="3" s="1"/>
  <c r="K628" i="3"/>
  <c r="K418" i="4"/>
  <c r="K481" i="4"/>
  <c r="O148" i="7"/>
  <c r="I244" i="1"/>
  <c r="K244" i="1" s="1"/>
  <c r="I345" i="1"/>
  <c r="J551" i="1"/>
  <c r="L555" i="1"/>
  <c r="I83" i="1"/>
  <c r="L102" i="1"/>
  <c r="I109" i="1"/>
  <c r="I185" i="1"/>
  <c r="J200" i="1"/>
  <c r="I238" i="1"/>
  <c r="K238" i="1" s="1"/>
  <c r="I341" i="1"/>
  <c r="K613" i="2"/>
  <c r="K625" i="2"/>
  <c r="L34" i="3"/>
  <c r="L70" i="3"/>
  <c r="K564" i="3"/>
  <c r="K615" i="3"/>
  <c r="J615" i="1"/>
  <c r="J483" i="1"/>
  <c r="J324" i="1"/>
  <c r="O337" i="5"/>
  <c r="M337" i="5"/>
  <c r="P337" i="5" s="1"/>
  <c r="O437" i="13"/>
  <c r="N32" i="13"/>
  <c r="N30" i="13" s="1"/>
  <c r="N26" i="2"/>
  <c r="N16" i="2" s="1"/>
  <c r="P98" i="2"/>
  <c r="K164" i="2"/>
  <c r="K200" i="2"/>
  <c r="P224" i="2"/>
  <c r="K328" i="2"/>
  <c r="N331" i="2"/>
  <c r="N329" i="2" s="1"/>
  <c r="N540" i="1"/>
  <c r="O551" i="2"/>
  <c r="K560" i="2"/>
  <c r="O566" i="2"/>
  <c r="K110" i="3"/>
  <c r="K149" i="3"/>
  <c r="K201" i="3"/>
  <c r="K349" i="3"/>
  <c r="K380" i="3"/>
  <c r="O383" i="3"/>
  <c r="K401" i="3"/>
  <c r="O404" i="3"/>
  <c r="K420" i="3"/>
  <c r="O459" i="3"/>
  <c r="J506" i="1"/>
  <c r="K547" i="3"/>
  <c r="K563" i="3"/>
  <c r="O584" i="3"/>
  <c r="O599" i="3"/>
  <c r="I626" i="1"/>
  <c r="K630" i="3"/>
  <c r="K634" i="3"/>
  <c r="L26" i="4"/>
  <c r="K108" i="4"/>
  <c r="K138" i="4"/>
  <c r="K176" i="4"/>
  <c r="P254" i="4"/>
  <c r="O354" i="4"/>
  <c r="K368" i="4"/>
  <c r="K372" i="4"/>
  <c r="O385" i="4"/>
  <c r="O404" i="4"/>
  <c r="K420" i="4"/>
  <c r="K499" i="4"/>
  <c r="N31" i="4"/>
  <c r="N29" i="4" s="1"/>
  <c r="O580" i="4"/>
  <c r="O601" i="4"/>
  <c r="K189" i="5"/>
  <c r="O437" i="5"/>
  <c r="O564" i="5"/>
  <c r="M292" i="6"/>
  <c r="P292" i="6" s="1"/>
  <c r="P294" i="6"/>
  <c r="O380" i="6"/>
  <c r="K397" i="6"/>
  <c r="K634" i="6"/>
  <c r="O353" i="7"/>
  <c r="L33" i="7"/>
  <c r="O33" i="7" s="1"/>
  <c r="K482" i="7"/>
  <c r="P144" i="8"/>
  <c r="M142" i="8"/>
  <c r="M140" i="8" s="1"/>
  <c r="K270" i="2"/>
  <c r="P275" i="2"/>
  <c r="K309" i="2"/>
  <c r="P333" i="2"/>
  <c r="N356" i="1"/>
  <c r="K474" i="2"/>
  <c r="K481" i="2"/>
  <c r="K533" i="2"/>
  <c r="J561" i="1"/>
  <c r="O582" i="2"/>
  <c r="J616" i="1"/>
  <c r="K634" i="2"/>
  <c r="K111" i="3"/>
  <c r="L254" i="3"/>
  <c r="K345" i="3"/>
  <c r="O349" i="3"/>
  <c r="O352" i="3"/>
  <c r="K376" i="3"/>
  <c r="K397" i="3"/>
  <c r="K417" i="3"/>
  <c r="K421" i="3"/>
  <c r="K428" i="3"/>
  <c r="K635" i="3"/>
  <c r="P57" i="4"/>
  <c r="L70" i="4"/>
  <c r="O70" i="4" s="1"/>
  <c r="K80" i="4"/>
  <c r="O102" i="4"/>
  <c r="K109" i="4"/>
  <c r="K264" i="4"/>
  <c r="K324" i="4"/>
  <c r="K341" i="4"/>
  <c r="K396" i="4"/>
  <c r="K402" i="4"/>
  <c r="K421" i="4"/>
  <c r="K428" i="4"/>
  <c r="O439" i="4"/>
  <c r="O459" i="4"/>
  <c r="K614" i="4"/>
  <c r="K634" i="4"/>
  <c r="P275" i="5"/>
  <c r="K426" i="5"/>
  <c r="M312" i="6"/>
  <c r="P312" i="6" s="1"/>
  <c r="P314" i="6"/>
  <c r="M22" i="7"/>
  <c r="M12" i="7" s="1"/>
  <c r="P98" i="7"/>
  <c r="O584" i="4"/>
  <c r="N43" i="5"/>
  <c r="N96" i="7"/>
  <c r="N94" i="7" s="1"/>
  <c r="P333" i="7"/>
  <c r="K591" i="7"/>
  <c r="L314" i="2"/>
  <c r="O314" i="2" s="1"/>
  <c r="K324" i="2"/>
  <c r="O380" i="2"/>
  <c r="K419" i="2"/>
  <c r="O437" i="2"/>
  <c r="K465" i="2"/>
  <c r="J475" i="1"/>
  <c r="K498" i="2"/>
  <c r="K562" i="2"/>
  <c r="O601" i="2"/>
  <c r="K631" i="2"/>
  <c r="K635" i="2"/>
  <c r="N43" i="3"/>
  <c r="N41" i="3" s="1"/>
  <c r="K93" i="3"/>
  <c r="L98" i="3"/>
  <c r="L96" i="3" s="1"/>
  <c r="L94" i="3" s="1"/>
  <c r="K173" i="3"/>
  <c r="K199" i="3"/>
  <c r="K219" i="3"/>
  <c r="P224" i="3"/>
  <c r="K265" i="3"/>
  <c r="K340" i="3"/>
  <c r="K422" i="3"/>
  <c r="K425" i="3"/>
  <c r="K429" i="3"/>
  <c r="O457" i="3"/>
  <c r="O533" i="3"/>
  <c r="O582" i="3"/>
  <c r="K591" i="3"/>
  <c r="O597" i="3"/>
  <c r="O601" i="3"/>
  <c r="N22" i="4"/>
  <c r="K93" i="4"/>
  <c r="M96" i="4"/>
  <c r="K199" i="4"/>
  <c r="K265" i="4"/>
  <c r="O337" i="4"/>
  <c r="O349" i="4"/>
  <c r="O352" i="4"/>
  <c r="K370" i="4"/>
  <c r="K429" i="4"/>
  <c r="K449" i="4"/>
  <c r="K564" i="4"/>
  <c r="K593" i="4"/>
  <c r="N22" i="5"/>
  <c r="O102" i="5"/>
  <c r="K229" i="5"/>
  <c r="P254" i="5"/>
  <c r="K328" i="5"/>
  <c r="K473" i="5"/>
  <c r="K85" i="6"/>
  <c r="K249" i="6"/>
  <c r="N34" i="6"/>
  <c r="N14" i="6" s="1"/>
  <c r="O435" i="6"/>
  <c r="K199" i="7"/>
  <c r="K204" i="7"/>
  <c r="L224" i="7"/>
  <c r="L222" i="7" s="1"/>
  <c r="K419" i="7"/>
  <c r="K580" i="7"/>
  <c r="J592" i="1"/>
  <c r="L24" i="3"/>
  <c r="O24" i="3" s="1"/>
  <c r="L333" i="3"/>
  <c r="O333" i="3" s="1"/>
  <c r="O439" i="3"/>
  <c r="K111" i="4"/>
  <c r="K270" i="4"/>
  <c r="K435" i="4"/>
  <c r="K450" i="4"/>
  <c r="K455" i="4"/>
  <c r="K466" i="4"/>
  <c r="K482" i="4"/>
  <c r="K498" i="4"/>
  <c r="O555" i="4"/>
  <c r="L34" i="5"/>
  <c r="P144" i="5"/>
  <c r="K466" i="5"/>
  <c r="K614" i="5"/>
  <c r="K617" i="5"/>
  <c r="K618" i="5"/>
  <c r="M292" i="7"/>
  <c r="M290" i="7" s="1"/>
  <c r="P290" i="7" s="1"/>
  <c r="P294" i="7"/>
  <c r="O382" i="7"/>
  <c r="L31" i="7"/>
  <c r="L31" i="8"/>
  <c r="O31" i="8" s="1"/>
  <c r="O382" i="8"/>
  <c r="L70" i="2"/>
  <c r="L68" i="2" s="1"/>
  <c r="K133" i="2"/>
  <c r="L144" i="2"/>
  <c r="O144" i="2" s="1"/>
  <c r="K173" i="2"/>
  <c r="K199" i="2"/>
  <c r="K219" i="2"/>
  <c r="O401" i="2"/>
  <c r="K427" i="2"/>
  <c r="O457" i="2"/>
  <c r="K563" i="2"/>
  <c r="P45" i="3"/>
  <c r="K88" i="3"/>
  <c r="O102" i="3"/>
  <c r="K109" i="3"/>
  <c r="K158" i="3"/>
  <c r="K200" i="3"/>
  <c r="K266" i="3"/>
  <c r="O347" i="3"/>
  <c r="K430" i="3"/>
  <c r="K464" i="3"/>
  <c r="K499" i="3"/>
  <c r="K562" i="3"/>
  <c r="K589" i="3"/>
  <c r="K616" i="3"/>
  <c r="K633" i="3"/>
  <c r="K164" i="4"/>
  <c r="K185" i="4"/>
  <c r="K249" i="4"/>
  <c r="K266" i="4"/>
  <c r="L275" i="4"/>
  <c r="L273" i="4" s="1"/>
  <c r="L271" i="4" s="1"/>
  <c r="K285" i="4"/>
  <c r="L294" i="4"/>
  <c r="O294" i="4" s="1"/>
  <c r="K328" i="4"/>
  <c r="P333" i="4"/>
  <c r="K343" i="4"/>
  <c r="K350" i="4"/>
  <c r="I367" i="4"/>
  <c r="K367" i="4" s="1"/>
  <c r="O564" i="4"/>
  <c r="K580" i="4"/>
  <c r="K591" i="4"/>
  <c r="N26" i="5"/>
  <c r="N16" i="5" s="1"/>
  <c r="K109" i="5"/>
  <c r="K199" i="5"/>
  <c r="K219" i="5"/>
  <c r="N222" i="5"/>
  <c r="N220" i="5" s="1"/>
  <c r="L294" i="5"/>
  <c r="O294" i="5" s="1"/>
  <c r="N312" i="5"/>
  <c r="N310" i="5" s="1"/>
  <c r="K482" i="5"/>
  <c r="K593" i="5"/>
  <c r="N331" i="6"/>
  <c r="N329" i="6" s="1"/>
  <c r="K421" i="6"/>
  <c r="K424" i="6"/>
  <c r="N26" i="7"/>
  <c r="N16" i="7" s="1"/>
  <c r="N55" i="7"/>
  <c r="P70" i="7"/>
  <c r="K113" i="7"/>
  <c r="K173" i="7"/>
  <c r="N31" i="7"/>
  <c r="K341" i="5"/>
  <c r="O385" i="5"/>
  <c r="K430" i="5"/>
  <c r="K450" i="5"/>
  <c r="K621" i="5"/>
  <c r="K629" i="5"/>
  <c r="K65" i="6"/>
  <c r="K117" i="6"/>
  <c r="K149" i="6"/>
  <c r="K266" i="6"/>
  <c r="L275" i="6"/>
  <c r="L273" i="6" s="1"/>
  <c r="K285" i="6"/>
  <c r="N312" i="6"/>
  <c r="N310" i="6" s="1"/>
  <c r="K328" i="6"/>
  <c r="K377" i="6"/>
  <c r="K381" i="6"/>
  <c r="K398" i="6"/>
  <c r="K402" i="6"/>
  <c r="K418" i="6"/>
  <c r="K464" i="6"/>
  <c r="K626" i="6"/>
  <c r="K164" i="7"/>
  <c r="K189" i="7"/>
  <c r="K200" i="7"/>
  <c r="K328" i="7"/>
  <c r="L333" i="7"/>
  <c r="L331" i="7" s="1"/>
  <c r="L329" i="7" s="1"/>
  <c r="K340" i="7"/>
  <c r="K368" i="7"/>
  <c r="K380" i="7"/>
  <c r="O383" i="7"/>
  <c r="K401" i="7"/>
  <c r="O404" i="7"/>
  <c r="K420" i="7"/>
  <c r="O437" i="7"/>
  <c r="O459" i="7"/>
  <c r="K465" i="7"/>
  <c r="K533" i="7"/>
  <c r="K138" i="8"/>
  <c r="P254" i="8"/>
  <c r="M252" i="8"/>
  <c r="K343" i="8"/>
  <c r="K350" i="8"/>
  <c r="K375" i="8"/>
  <c r="K424" i="8"/>
  <c r="K424" i="9"/>
  <c r="M55" i="10"/>
  <c r="M53" i="10" s="1"/>
  <c r="P57" i="10"/>
  <c r="K189" i="10"/>
  <c r="O352" i="10"/>
  <c r="L32" i="10"/>
  <c r="K625" i="5"/>
  <c r="L24" i="6"/>
  <c r="O24" i="6" s="1"/>
  <c r="I367" i="6"/>
  <c r="K367" i="6" s="1"/>
  <c r="N31" i="6"/>
  <c r="N11" i="6" s="1"/>
  <c r="N9" i="6" s="1"/>
  <c r="N312" i="7"/>
  <c r="N310" i="7" s="1"/>
  <c r="M142" i="9"/>
  <c r="P144" i="9"/>
  <c r="N33" i="9"/>
  <c r="N13" i="9" s="1"/>
  <c r="O534" i="11"/>
  <c r="L31" i="11"/>
  <c r="K396" i="5"/>
  <c r="O535" i="5"/>
  <c r="K591" i="5"/>
  <c r="K597" i="5"/>
  <c r="K630" i="5"/>
  <c r="L70" i="6"/>
  <c r="O70" i="6" s="1"/>
  <c r="K80" i="6"/>
  <c r="O102" i="6"/>
  <c r="K112" i="6"/>
  <c r="L122" i="6"/>
  <c r="L120" i="6" s="1"/>
  <c r="K132" i="6"/>
  <c r="K229" i="6"/>
  <c r="K267" i="6"/>
  <c r="K343" i="6"/>
  <c r="O347" i="6"/>
  <c r="K350" i="6"/>
  <c r="O385" i="6"/>
  <c r="O406" i="6"/>
  <c r="K419" i="6"/>
  <c r="K426" i="6"/>
  <c r="K632" i="6"/>
  <c r="K111" i="7"/>
  <c r="L275" i="7"/>
  <c r="O275" i="7" s="1"/>
  <c r="K341" i="7"/>
  <c r="O354" i="7"/>
  <c r="K376" i="7"/>
  <c r="O380" i="7"/>
  <c r="K397" i="7"/>
  <c r="O401" i="7"/>
  <c r="K417" i="7"/>
  <c r="K421" i="7"/>
  <c r="K428" i="7"/>
  <c r="K473" i="7"/>
  <c r="O568" i="7"/>
  <c r="K593" i="7"/>
  <c r="K631" i="7"/>
  <c r="L254" i="8"/>
  <c r="L252" i="8" s="1"/>
  <c r="M331" i="8"/>
  <c r="M329" i="8" s="1"/>
  <c r="P333" i="8"/>
  <c r="K417" i="8"/>
  <c r="O537" i="8"/>
  <c r="L33" i="9"/>
  <c r="O33" i="9" s="1"/>
  <c r="O401" i="9"/>
  <c r="K580" i="9"/>
  <c r="K630" i="9"/>
  <c r="L98" i="10"/>
  <c r="L96" i="10" s="1"/>
  <c r="K164" i="10"/>
  <c r="L45" i="11"/>
  <c r="O385" i="11"/>
  <c r="L34" i="11"/>
  <c r="N33" i="11"/>
  <c r="N13" i="11" s="1"/>
  <c r="K626" i="7"/>
  <c r="K621" i="7"/>
  <c r="L23" i="8"/>
  <c r="O23" i="8" s="1"/>
  <c r="P57" i="8"/>
  <c r="M22" i="8"/>
  <c r="K343" i="5"/>
  <c r="N32" i="5"/>
  <c r="N30" i="5" s="1"/>
  <c r="O406" i="5"/>
  <c r="K595" i="5"/>
  <c r="K626" i="5"/>
  <c r="K84" i="6"/>
  <c r="K113" i="6"/>
  <c r="K133" i="6"/>
  <c r="K423" i="6"/>
  <c r="K427" i="6"/>
  <c r="K435" i="6"/>
  <c r="O537" i="6"/>
  <c r="L45" i="7"/>
  <c r="L43" i="7" s="1"/>
  <c r="O102" i="7"/>
  <c r="P144" i="7"/>
  <c r="K229" i="7"/>
  <c r="L254" i="7"/>
  <c r="O254" i="7" s="1"/>
  <c r="K429" i="7"/>
  <c r="K498" i="7"/>
  <c r="K623" i="7"/>
  <c r="L24" i="8"/>
  <c r="L33" i="8"/>
  <c r="O33" i="8" s="1"/>
  <c r="O405" i="8"/>
  <c r="K343" i="9"/>
  <c r="O534" i="9"/>
  <c r="L31" i="9"/>
  <c r="L29" i="9" s="1"/>
  <c r="O29" i="9" s="1"/>
  <c r="M43" i="10"/>
  <c r="M41" i="10" s="1"/>
  <c r="M22" i="10"/>
  <c r="P45" i="10"/>
  <c r="K622" i="10"/>
  <c r="K625" i="10"/>
  <c r="K621" i="10"/>
  <c r="K429" i="5"/>
  <c r="K449" i="5"/>
  <c r="K573" i="5"/>
  <c r="K620" i="5"/>
  <c r="K628" i="5"/>
  <c r="K64" i="6"/>
  <c r="N96" i="6"/>
  <c r="N94" i="6" s="1"/>
  <c r="K164" i="6"/>
  <c r="K219" i="6"/>
  <c r="K265" i="6"/>
  <c r="N292" i="6"/>
  <c r="N290" i="6" s="1"/>
  <c r="P337" i="6"/>
  <c r="O457" i="6"/>
  <c r="K473" i="6"/>
  <c r="K499" i="6"/>
  <c r="O566" i="6"/>
  <c r="O599" i="6"/>
  <c r="K625" i="6"/>
  <c r="M102" i="7"/>
  <c r="P102" i="7" s="1"/>
  <c r="N120" i="7"/>
  <c r="N118" i="7" s="1"/>
  <c r="K219" i="7"/>
  <c r="M312" i="7"/>
  <c r="P312" i="7" s="1"/>
  <c r="O349" i="7"/>
  <c r="K402" i="7"/>
  <c r="O439" i="7"/>
  <c r="K474" i="7"/>
  <c r="K499" i="7"/>
  <c r="O535" i="7"/>
  <c r="K547" i="7"/>
  <c r="K564" i="7"/>
  <c r="O566" i="7"/>
  <c r="K620" i="7"/>
  <c r="K629" i="7"/>
  <c r="L57" i="8"/>
  <c r="O57" i="8" s="1"/>
  <c r="N68" i="8"/>
  <c r="N66" i="8" s="1"/>
  <c r="N22" i="8"/>
  <c r="M222" i="8"/>
  <c r="M220" i="8" s="1"/>
  <c r="P224" i="8"/>
  <c r="L26" i="9"/>
  <c r="O49" i="9"/>
  <c r="L23" i="9"/>
  <c r="O23" i="9" s="1"/>
  <c r="K189" i="9"/>
  <c r="K200" i="9"/>
  <c r="M312" i="9"/>
  <c r="P312" i="9" s="1"/>
  <c r="P314" i="9"/>
  <c r="K381" i="9"/>
  <c r="L34" i="9"/>
  <c r="O385" i="9"/>
  <c r="O601" i="9"/>
  <c r="N26" i="8"/>
  <c r="N16" i="8" s="1"/>
  <c r="L275" i="8"/>
  <c r="O275" i="8" s="1"/>
  <c r="L294" i="8"/>
  <c r="P337" i="8"/>
  <c r="L254" i="9"/>
  <c r="L252" i="9" s="1"/>
  <c r="O252" i="9" s="1"/>
  <c r="M120" i="10"/>
  <c r="P120" i="10" s="1"/>
  <c r="P122" i="10"/>
  <c r="K398" i="10"/>
  <c r="N96" i="8"/>
  <c r="N94" i="8" s="1"/>
  <c r="N142" i="8"/>
  <c r="N140" i="8" s="1"/>
  <c r="M292" i="8"/>
  <c r="P292" i="8" s="1"/>
  <c r="N312" i="8"/>
  <c r="N310" i="8" s="1"/>
  <c r="K368" i="8"/>
  <c r="K372" i="8"/>
  <c r="K421" i="8"/>
  <c r="K499" i="8"/>
  <c r="K624" i="8"/>
  <c r="M252" i="9"/>
  <c r="P252" i="9" s="1"/>
  <c r="L294" i="9"/>
  <c r="L292" i="9" s="1"/>
  <c r="L333" i="9"/>
  <c r="L331" i="9" s="1"/>
  <c r="O347" i="9"/>
  <c r="O354" i="9"/>
  <c r="K402" i="9"/>
  <c r="K428" i="9"/>
  <c r="O435" i="9"/>
  <c r="K481" i="9"/>
  <c r="K497" i="9"/>
  <c r="K617" i="9"/>
  <c r="K158" i="10"/>
  <c r="K285" i="10"/>
  <c r="K381" i="10"/>
  <c r="O61" i="13"/>
  <c r="L26" i="13"/>
  <c r="P45" i="8"/>
  <c r="K83" i="8"/>
  <c r="N120" i="8"/>
  <c r="N118" i="8" s="1"/>
  <c r="L144" i="8"/>
  <c r="O144" i="8" s="1"/>
  <c r="P275" i="8"/>
  <c r="L314" i="8"/>
  <c r="L312" i="8" s="1"/>
  <c r="O347" i="8"/>
  <c r="K418" i="8"/>
  <c r="K432" i="8"/>
  <c r="K562" i="8"/>
  <c r="O580" i="8"/>
  <c r="K595" i="8"/>
  <c r="K621" i="8"/>
  <c r="N43" i="9"/>
  <c r="N41" i="9" s="1"/>
  <c r="P41" i="9" s="1"/>
  <c r="M68" i="9"/>
  <c r="M66" i="9" s="1"/>
  <c r="P66" i="9" s="1"/>
  <c r="L144" i="9"/>
  <c r="O144" i="9" s="1"/>
  <c r="K589" i="9"/>
  <c r="K611" i="9"/>
  <c r="L23" i="10"/>
  <c r="O23" i="10" s="1"/>
  <c r="N26" i="10"/>
  <c r="N16" i="10" s="1"/>
  <c r="K149" i="10"/>
  <c r="P333" i="10"/>
  <c r="M55" i="14"/>
  <c r="M53" i="14" s="1"/>
  <c r="M22" i="14"/>
  <c r="M12" i="14" s="1"/>
  <c r="L45" i="15"/>
  <c r="L24" i="15"/>
  <c r="O24" i="15" s="1"/>
  <c r="O337" i="9"/>
  <c r="K372" i="9"/>
  <c r="K547" i="9"/>
  <c r="K619" i="9"/>
  <c r="K632" i="9"/>
  <c r="L57" i="10"/>
  <c r="K86" i="10"/>
  <c r="P224" i="10"/>
  <c r="N252" i="10"/>
  <c r="N250" i="10" s="1"/>
  <c r="N292" i="10"/>
  <c r="N290" i="10" s="1"/>
  <c r="N331" i="10"/>
  <c r="N329" i="10" s="1"/>
  <c r="M292" i="13"/>
  <c r="P292" i="13" s="1"/>
  <c r="P294" i="13"/>
  <c r="K634" i="7"/>
  <c r="L45" i="8"/>
  <c r="L43" i="8" s="1"/>
  <c r="K64" i="8"/>
  <c r="K81" i="8"/>
  <c r="P98" i="8"/>
  <c r="K110" i="8"/>
  <c r="K341" i="8"/>
  <c r="K345" i="8"/>
  <c r="K377" i="8"/>
  <c r="K422" i="8"/>
  <c r="K426" i="8"/>
  <c r="K429" i="8"/>
  <c r="K449" i="8"/>
  <c r="O535" i="8"/>
  <c r="K634" i="8"/>
  <c r="L32" i="9"/>
  <c r="L30" i="9" s="1"/>
  <c r="K235" i="9"/>
  <c r="K345" i="9"/>
  <c r="O349" i="9"/>
  <c r="O383" i="9"/>
  <c r="K419" i="9"/>
  <c r="K426" i="9"/>
  <c r="K430" i="9"/>
  <c r="O457" i="9"/>
  <c r="K533" i="9"/>
  <c r="K87" i="10"/>
  <c r="L122" i="10"/>
  <c r="L294" i="10"/>
  <c r="O294" i="10" s="1"/>
  <c r="K328" i="10"/>
  <c r="O383" i="10"/>
  <c r="K417" i="10"/>
  <c r="K421" i="10"/>
  <c r="K428" i="10"/>
  <c r="O435" i="10"/>
  <c r="O439" i="10"/>
  <c r="L70" i="11"/>
  <c r="O70" i="11" s="1"/>
  <c r="O337" i="11"/>
  <c r="K265" i="12"/>
  <c r="L45" i="13"/>
  <c r="L43" i="13" s="1"/>
  <c r="L23" i="13"/>
  <c r="O23" i="13" s="1"/>
  <c r="K616" i="9"/>
  <c r="L254" i="10"/>
  <c r="K341" i="10"/>
  <c r="K397" i="10"/>
  <c r="O401" i="10"/>
  <c r="K547" i="10"/>
  <c r="K372" i="11"/>
  <c r="O383" i="12"/>
  <c r="L32" i="12"/>
  <c r="L30" i="12" s="1"/>
  <c r="K635" i="7"/>
  <c r="O49" i="8"/>
  <c r="K65" i="8"/>
  <c r="P70" i="8"/>
  <c r="L98" i="8"/>
  <c r="O98" i="8" s="1"/>
  <c r="K108" i="8"/>
  <c r="K117" i="8"/>
  <c r="K149" i="8"/>
  <c r="K189" i="8"/>
  <c r="K204" i="8"/>
  <c r="K215" i="8"/>
  <c r="K235" i="8"/>
  <c r="K267" i="8"/>
  <c r="O349" i="8"/>
  <c r="O401" i="8"/>
  <c r="O404" i="8"/>
  <c r="K416" i="8"/>
  <c r="K455" i="8"/>
  <c r="K564" i="8"/>
  <c r="K628" i="8"/>
  <c r="N68" i="9"/>
  <c r="N66" i="9" s="1"/>
  <c r="K229" i="9"/>
  <c r="K377" i="9"/>
  <c r="O404" i="9"/>
  <c r="K416" i="9"/>
  <c r="K427" i="9"/>
  <c r="O566" i="9"/>
  <c r="O582" i="9"/>
  <c r="K624" i="9"/>
  <c r="O74" i="10"/>
  <c r="K81" i="10"/>
  <c r="L144" i="10"/>
  <c r="K199" i="10"/>
  <c r="L314" i="10"/>
  <c r="O314" i="10" s="1"/>
  <c r="O380" i="10"/>
  <c r="K418" i="10"/>
  <c r="K425" i="10"/>
  <c r="K429" i="10"/>
  <c r="K623" i="10"/>
  <c r="K186" i="11"/>
  <c r="O354" i="11"/>
  <c r="L224" i="12"/>
  <c r="M120" i="13"/>
  <c r="P122" i="13"/>
  <c r="K455" i="10"/>
  <c r="O599" i="10"/>
  <c r="K626" i="10"/>
  <c r="K631" i="10"/>
  <c r="K164" i="11"/>
  <c r="K328" i="11"/>
  <c r="K340" i="11"/>
  <c r="K423" i="11"/>
  <c r="K426" i="11"/>
  <c r="N34" i="11"/>
  <c r="N14" i="11" s="1"/>
  <c r="K481" i="11"/>
  <c r="O533" i="11"/>
  <c r="O74" i="12"/>
  <c r="K93" i="12"/>
  <c r="K113" i="12"/>
  <c r="L122" i="12"/>
  <c r="O122" i="12" s="1"/>
  <c r="K132" i="12"/>
  <c r="P275" i="14"/>
  <c r="M273" i="14"/>
  <c r="N22" i="15"/>
  <c r="K628" i="10"/>
  <c r="K635" i="10"/>
  <c r="N55" i="11"/>
  <c r="N53" i="11" s="1"/>
  <c r="K158" i="11"/>
  <c r="O401" i="11"/>
  <c r="O404" i="11"/>
  <c r="K430" i="11"/>
  <c r="K449" i="11"/>
  <c r="K562" i="11"/>
  <c r="K625" i="11"/>
  <c r="K110" i="12"/>
  <c r="K380" i="12"/>
  <c r="K419" i="12"/>
  <c r="K466" i="12"/>
  <c r="K498" i="12"/>
  <c r="O566" i="12"/>
  <c r="K189" i="13"/>
  <c r="K270" i="13"/>
  <c r="M312" i="13"/>
  <c r="P312" i="13" s="1"/>
  <c r="K629" i="14"/>
  <c r="O74" i="15"/>
  <c r="L26" i="15"/>
  <c r="O298" i="15"/>
  <c r="K402" i="15"/>
  <c r="O455" i="10"/>
  <c r="K464" i="10"/>
  <c r="K474" i="10"/>
  <c r="O535" i="10"/>
  <c r="O551" i="10"/>
  <c r="O566" i="10"/>
  <c r="O582" i="10"/>
  <c r="K624" i="10"/>
  <c r="O49" i="11"/>
  <c r="L98" i="11"/>
  <c r="L96" i="11" s="1"/>
  <c r="O96" i="11" s="1"/>
  <c r="K149" i="11"/>
  <c r="K176" i="11"/>
  <c r="K229" i="11"/>
  <c r="K264" i="11"/>
  <c r="P294" i="11"/>
  <c r="K349" i="11"/>
  <c r="K420" i="11"/>
  <c r="K431" i="11"/>
  <c r="K450" i="11"/>
  <c r="K620" i="11"/>
  <c r="K623" i="11"/>
  <c r="O49" i="12"/>
  <c r="P57" i="12"/>
  <c r="K133" i="12"/>
  <c r="O437" i="12"/>
  <c r="K473" i="12"/>
  <c r="O601" i="12"/>
  <c r="K631" i="12"/>
  <c r="N26" i="13"/>
  <c r="N16" i="13" s="1"/>
  <c r="O536" i="15"/>
  <c r="L33" i="15"/>
  <c r="O33" i="15" s="1"/>
  <c r="O584" i="11"/>
  <c r="K626" i="11"/>
  <c r="M22" i="12"/>
  <c r="M12" i="12" s="1"/>
  <c r="K173" i="12"/>
  <c r="K345" i="12"/>
  <c r="O380" i="12"/>
  <c r="K420" i="12"/>
  <c r="O457" i="12"/>
  <c r="K499" i="12"/>
  <c r="K635" i="12"/>
  <c r="N312" i="13"/>
  <c r="N310" i="13" s="1"/>
  <c r="P144" i="14"/>
  <c r="M142" i="14"/>
  <c r="N32" i="14"/>
  <c r="N30" i="14" s="1"/>
  <c r="N32" i="15"/>
  <c r="N30" i="15" s="1"/>
  <c r="N142" i="11"/>
  <c r="N140" i="11" s="1"/>
  <c r="N312" i="11"/>
  <c r="N310" i="11" s="1"/>
  <c r="K370" i="11"/>
  <c r="K418" i="11"/>
  <c r="N22" i="12"/>
  <c r="K219" i="12"/>
  <c r="M312" i="12"/>
  <c r="P312" i="12" s="1"/>
  <c r="K369" i="12"/>
  <c r="O401" i="12"/>
  <c r="N34" i="12"/>
  <c r="N14" i="12" s="1"/>
  <c r="O599" i="12"/>
  <c r="K621" i="12"/>
  <c r="L122" i="13"/>
  <c r="O122" i="13" s="1"/>
  <c r="L314" i="13"/>
  <c r="O314" i="13" s="1"/>
  <c r="N331" i="13"/>
  <c r="N329" i="13" s="1"/>
  <c r="M292" i="14"/>
  <c r="P292" i="14" s="1"/>
  <c r="P294" i="14"/>
  <c r="K420" i="14"/>
  <c r="O459" i="14"/>
  <c r="O553" i="14"/>
  <c r="L32" i="14"/>
  <c r="P57" i="15"/>
  <c r="K229" i="15"/>
  <c r="M292" i="15"/>
  <c r="P292" i="15" s="1"/>
  <c r="P294" i="15"/>
  <c r="K380" i="10"/>
  <c r="K401" i="10"/>
  <c r="O437" i="10"/>
  <c r="P45" i="11"/>
  <c r="K65" i="11"/>
  <c r="L144" i="11"/>
  <c r="O144" i="11" s="1"/>
  <c r="P333" i="11"/>
  <c r="O380" i="11"/>
  <c r="O383" i="11"/>
  <c r="K422" i="11"/>
  <c r="K621" i="11"/>
  <c r="K624" i="11"/>
  <c r="L34" i="12"/>
  <c r="K229" i="12"/>
  <c r="P294" i="12"/>
  <c r="K377" i="12"/>
  <c r="K428" i="12"/>
  <c r="L31" i="14"/>
  <c r="L144" i="14"/>
  <c r="N34" i="14"/>
  <c r="N14" i="14" s="1"/>
  <c r="O383" i="15"/>
  <c r="L32" i="15"/>
  <c r="K420" i="10"/>
  <c r="K427" i="10"/>
  <c r="K435" i="10"/>
  <c r="K450" i="10"/>
  <c r="O457" i="10"/>
  <c r="K482" i="10"/>
  <c r="K498" i="10"/>
  <c r="O553" i="10"/>
  <c r="O568" i="10"/>
  <c r="O584" i="10"/>
  <c r="K85" i="11"/>
  <c r="K132" i="11"/>
  <c r="K350" i="11"/>
  <c r="K377" i="11"/>
  <c r="K429" i="11"/>
  <c r="K580" i="11"/>
  <c r="O582" i="11"/>
  <c r="K635" i="11"/>
  <c r="N55" i="12"/>
  <c r="P55" i="12" s="1"/>
  <c r="P224" i="12"/>
  <c r="L254" i="12"/>
  <c r="L252" i="12" s="1"/>
  <c r="K264" i="12"/>
  <c r="K285" i="12"/>
  <c r="K398" i="12"/>
  <c r="K425" i="12"/>
  <c r="O439" i="12"/>
  <c r="K481" i="12"/>
  <c r="K597" i="12"/>
  <c r="K625" i="12"/>
  <c r="N96" i="13"/>
  <c r="N94" i="13" s="1"/>
  <c r="K199" i="13"/>
  <c r="P224" i="13"/>
  <c r="K573" i="13"/>
  <c r="K630" i="13"/>
  <c r="P45" i="15"/>
  <c r="O354" i="15"/>
  <c r="L34" i="15"/>
  <c r="K597" i="15"/>
  <c r="O337" i="13"/>
  <c r="K427" i="13"/>
  <c r="K481" i="13"/>
  <c r="O568" i="13"/>
  <c r="L45" i="14"/>
  <c r="K93" i="14"/>
  <c r="O102" i="14"/>
  <c r="K109" i="14"/>
  <c r="N142" i="14"/>
  <c r="N140" i="14" s="1"/>
  <c r="K199" i="14"/>
  <c r="N292" i="14"/>
  <c r="N290" i="14" s="1"/>
  <c r="K398" i="14"/>
  <c r="K431" i="14"/>
  <c r="O455" i="14"/>
  <c r="K464" i="14"/>
  <c r="K481" i="14"/>
  <c r="N33" i="14"/>
  <c r="N13" i="14" s="1"/>
  <c r="K615" i="14"/>
  <c r="K64" i="15"/>
  <c r="P122" i="15"/>
  <c r="K199" i="15"/>
  <c r="P224" i="15"/>
  <c r="O337" i="15"/>
  <c r="K345" i="15"/>
  <c r="K375" i="15"/>
  <c r="O406" i="15"/>
  <c r="K422" i="15"/>
  <c r="K449" i="15"/>
  <c r="O566" i="15"/>
  <c r="K620" i="15"/>
  <c r="K623" i="15"/>
  <c r="K628" i="15"/>
  <c r="O49" i="16"/>
  <c r="O404" i="16"/>
  <c r="K613" i="17"/>
  <c r="K424" i="13"/>
  <c r="O435" i="13"/>
  <c r="O455" i="13"/>
  <c r="K482" i="13"/>
  <c r="O533" i="13"/>
  <c r="O537" i="13"/>
  <c r="K562" i="13"/>
  <c r="K113" i="14"/>
  <c r="K235" i="14"/>
  <c r="K340" i="14"/>
  <c r="K343" i="14"/>
  <c r="K418" i="14"/>
  <c r="K421" i="14"/>
  <c r="K425" i="14"/>
  <c r="K432" i="14"/>
  <c r="L23" i="15"/>
  <c r="L122" i="15"/>
  <c r="O122" i="15" s="1"/>
  <c r="K132" i="15"/>
  <c r="L144" i="15"/>
  <c r="K173" i="15"/>
  <c r="K396" i="15"/>
  <c r="K423" i="15"/>
  <c r="K435" i="15"/>
  <c r="O597" i="15"/>
  <c r="K632" i="15"/>
  <c r="N142" i="17"/>
  <c r="N140" i="17" s="1"/>
  <c r="N22" i="17"/>
  <c r="P144" i="17"/>
  <c r="K621" i="17"/>
  <c r="K421" i="18"/>
  <c r="K398" i="13"/>
  <c r="K402" i="13"/>
  <c r="K432" i="13"/>
  <c r="K563" i="13"/>
  <c r="K591" i="13"/>
  <c r="K595" i="13"/>
  <c r="O597" i="13"/>
  <c r="N55" i="14"/>
  <c r="N53" i="14" s="1"/>
  <c r="N96" i="14"/>
  <c r="N94" i="14" s="1"/>
  <c r="K164" i="14"/>
  <c r="M252" i="14"/>
  <c r="P252" i="14" s="1"/>
  <c r="P314" i="14"/>
  <c r="K350" i="14"/>
  <c r="K375" i="14"/>
  <c r="K380" i="14"/>
  <c r="O385" i="14"/>
  <c r="K426" i="14"/>
  <c r="K429" i="14"/>
  <c r="O437" i="14"/>
  <c r="K449" i="14"/>
  <c r="K551" i="14"/>
  <c r="K619" i="14"/>
  <c r="K631" i="14"/>
  <c r="L57" i="15"/>
  <c r="K164" i="15"/>
  <c r="K200" i="15"/>
  <c r="K216" i="15"/>
  <c r="O404" i="15"/>
  <c r="K420" i="15"/>
  <c r="K424" i="15"/>
  <c r="K431" i="15"/>
  <c r="K450" i="15"/>
  <c r="K455" i="15"/>
  <c r="O457" i="15"/>
  <c r="O601" i="15"/>
  <c r="K621" i="15"/>
  <c r="K633" i="15"/>
  <c r="N120" i="16"/>
  <c r="N118" i="16" s="1"/>
  <c r="L32" i="16"/>
  <c r="L30" i="16" s="1"/>
  <c r="L33" i="17"/>
  <c r="O33" i="17" s="1"/>
  <c r="N55" i="17"/>
  <c r="N53" i="17" s="1"/>
  <c r="O347" i="13"/>
  <c r="K368" i="13"/>
  <c r="K375" i="13"/>
  <c r="O406" i="13"/>
  <c r="K429" i="13"/>
  <c r="K449" i="13"/>
  <c r="K497" i="13"/>
  <c r="K580" i="13"/>
  <c r="K635" i="13"/>
  <c r="L57" i="14"/>
  <c r="O57" i="14" s="1"/>
  <c r="K270" i="14"/>
  <c r="L314" i="14"/>
  <c r="O314" i="14" s="1"/>
  <c r="O337" i="14"/>
  <c r="K396" i="14"/>
  <c r="K401" i="14"/>
  <c r="O457" i="14"/>
  <c r="K563" i="14"/>
  <c r="K635" i="14"/>
  <c r="N43" i="15"/>
  <c r="N41" i="15" s="1"/>
  <c r="K158" i="15"/>
  <c r="K328" i="15"/>
  <c r="K340" i="15"/>
  <c r="K417" i="15"/>
  <c r="O533" i="15"/>
  <c r="O564" i="15"/>
  <c r="K613" i="15"/>
  <c r="O458" i="16"/>
  <c r="L33" i="16"/>
  <c r="O33" i="16" s="1"/>
  <c r="K368" i="17"/>
  <c r="L32" i="17"/>
  <c r="L30" i="17" s="1"/>
  <c r="O582" i="18"/>
  <c r="N312" i="15"/>
  <c r="N310" i="15" s="1"/>
  <c r="N33" i="15"/>
  <c r="N13" i="15" s="1"/>
  <c r="M273" i="16"/>
  <c r="M271" i="16" s="1"/>
  <c r="P275" i="16"/>
  <c r="P275" i="17"/>
  <c r="M273" i="17"/>
  <c r="O385" i="18"/>
  <c r="L34" i="18"/>
  <c r="L333" i="13"/>
  <c r="O333" i="13" s="1"/>
  <c r="K349" i="13"/>
  <c r="O383" i="13"/>
  <c r="K416" i="13"/>
  <c r="K473" i="13"/>
  <c r="O580" i="13"/>
  <c r="O599" i="13"/>
  <c r="L24" i="14"/>
  <c r="O24" i="14" s="1"/>
  <c r="K92" i="14"/>
  <c r="K111" i="14"/>
  <c r="L224" i="14"/>
  <c r="O224" i="14" s="1"/>
  <c r="O352" i="14"/>
  <c r="K397" i="14"/>
  <c r="O401" i="14"/>
  <c r="O404" i="14"/>
  <c r="K423" i="14"/>
  <c r="K430" i="14"/>
  <c r="K435" i="14"/>
  <c r="K450" i="14"/>
  <c r="K497" i="14"/>
  <c r="K560" i="14"/>
  <c r="O566" i="14"/>
  <c r="O582" i="14"/>
  <c r="O601" i="14"/>
  <c r="K620" i="14"/>
  <c r="P144" i="15"/>
  <c r="L333" i="15"/>
  <c r="L331" i="15" s="1"/>
  <c r="K349" i="15"/>
  <c r="O352" i="15"/>
  <c r="K562" i="15"/>
  <c r="N142" i="16"/>
  <c r="N140" i="16" s="1"/>
  <c r="P224" i="17"/>
  <c r="M222" i="17"/>
  <c r="P122" i="18"/>
  <c r="M120" i="18"/>
  <c r="P120" i="18" s="1"/>
  <c r="L31" i="18"/>
  <c r="O382" i="18"/>
  <c r="O537" i="18"/>
  <c r="M22" i="16"/>
  <c r="M12" i="16" s="1"/>
  <c r="L98" i="16"/>
  <c r="O98" i="16" s="1"/>
  <c r="M142" i="16"/>
  <c r="M140" i="16" s="1"/>
  <c r="L144" i="16"/>
  <c r="L142" i="16" s="1"/>
  <c r="L140" i="16" s="1"/>
  <c r="L254" i="16"/>
  <c r="L252" i="16" s="1"/>
  <c r="K345" i="16"/>
  <c r="K430" i="16"/>
  <c r="K464" i="16"/>
  <c r="K93" i="17"/>
  <c r="K109" i="17"/>
  <c r="K372" i="17"/>
  <c r="O380" i="17"/>
  <c r="K397" i="17"/>
  <c r="O404" i="17"/>
  <c r="K427" i="17"/>
  <c r="O435" i="17"/>
  <c r="K474" i="17"/>
  <c r="O535" i="17"/>
  <c r="K633" i="17"/>
  <c r="K235" i="18"/>
  <c r="O354" i="18"/>
  <c r="K372" i="18"/>
  <c r="N31" i="18"/>
  <c r="N29" i="18" s="1"/>
  <c r="O406" i="18"/>
  <c r="K428" i="18"/>
  <c r="K473" i="18"/>
  <c r="N43" i="16"/>
  <c r="N41" i="16" s="1"/>
  <c r="K117" i="16"/>
  <c r="M252" i="16"/>
  <c r="P252" i="16" s="1"/>
  <c r="K420" i="16"/>
  <c r="K427" i="16"/>
  <c r="O437" i="16"/>
  <c r="O459" i="16"/>
  <c r="K465" i="16"/>
  <c r="K547" i="16"/>
  <c r="K563" i="16"/>
  <c r="N68" i="17"/>
  <c r="N66" i="17" s="1"/>
  <c r="K133" i="17"/>
  <c r="K229" i="17"/>
  <c r="L275" i="17"/>
  <c r="L273" i="17" s="1"/>
  <c r="O273" i="17" s="1"/>
  <c r="K428" i="17"/>
  <c r="O455" i="17"/>
  <c r="K499" i="17"/>
  <c r="O551" i="17"/>
  <c r="O555" i="17"/>
  <c r="P45" i="18"/>
  <c r="N142" i="18"/>
  <c r="N140" i="18" s="1"/>
  <c r="M222" i="18"/>
  <c r="M220" i="18" s="1"/>
  <c r="K229" i="18"/>
  <c r="O337" i="18"/>
  <c r="O383" i="18"/>
  <c r="K416" i="18"/>
  <c r="K426" i="18"/>
  <c r="O535" i="18"/>
  <c r="K621" i="18"/>
  <c r="K64" i="16"/>
  <c r="K285" i="16"/>
  <c r="L314" i="16"/>
  <c r="L312" i="16" s="1"/>
  <c r="O352" i="16"/>
  <c r="K376" i="16"/>
  <c r="O401" i="16"/>
  <c r="L98" i="17"/>
  <c r="O98" i="17" s="1"/>
  <c r="K164" i="17"/>
  <c r="K381" i="17"/>
  <c r="K173" i="18"/>
  <c r="N331" i="18"/>
  <c r="N329" i="18" s="1"/>
  <c r="N32" i="18"/>
  <c r="K132" i="16"/>
  <c r="K199" i="16"/>
  <c r="K219" i="16"/>
  <c r="K229" i="16"/>
  <c r="O347" i="16"/>
  <c r="K370" i="16"/>
  <c r="K377" i="16"/>
  <c r="K417" i="16"/>
  <c r="K424" i="16"/>
  <c r="N33" i="16"/>
  <c r="N13" i="16" s="1"/>
  <c r="K497" i="16"/>
  <c r="O597" i="16"/>
  <c r="K117" i="17"/>
  <c r="P122" i="17"/>
  <c r="K158" i="17"/>
  <c r="K176" i="17"/>
  <c r="N273" i="17"/>
  <c r="N271" i="17" s="1"/>
  <c r="K328" i="17"/>
  <c r="K343" i="17"/>
  <c r="K370" i="17"/>
  <c r="K402" i="17"/>
  <c r="N31" i="17"/>
  <c r="N29" i="17" s="1"/>
  <c r="K626" i="17"/>
  <c r="K628" i="17"/>
  <c r="P57" i="18"/>
  <c r="K65" i="18"/>
  <c r="K83" i="18"/>
  <c r="K164" i="18"/>
  <c r="K266" i="18"/>
  <c r="P275" i="18"/>
  <c r="K377" i="18"/>
  <c r="O404" i="18"/>
  <c r="K430" i="18"/>
  <c r="K435" i="18"/>
  <c r="K593" i="18"/>
  <c r="O599" i="18"/>
  <c r="N96" i="16"/>
  <c r="N94" i="16" s="1"/>
  <c r="L24" i="17"/>
  <c r="O24" i="17" s="1"/>
  <c r="K564" i="18"/>
  <c r="K628" i="18"/>
  <c r="K634" i="15"/>
  <c r="K65" i="16"/>
  <c r="P98" i="16"/>
  <c r="K133" i="16"/>
  <c r="K200" i="16"/>
  <c r="K422" i="16"/>
  <c r="K425" i="16"/>
  <c r="K432" i="16"/>
  <c r="O533" i="16"/>
  <c r="L70" i="17"/>
  <c r="O70" i="17" s="1"/>
  <c r="K92" i="17"/>
  <c r="N96" i="17"/>
  <c r="N94" i="17" s="1"/>
  <c r="K112" i="17"/>
  <c r="K265" i="17"/>
  <c r="N292" i="17"/>
  <c r="N290" i="17" s="1"/>
  <c r="K340" i="17"/>
  <c r="K375" i="17"/>
  <c r="K380" i="17"/>
  <c r="K401" i="17"/>
  <c r="K419" i="17"/>
  <c r="K450" i="17"/>
  <c r="K466" i="17"/>
  <c r="O597" i="17"/>
  <c r="K629" i="17"/>
  <c r="K632" i="17"/>
  <c r="L57" i="18"/>
  <c r="L55" i="18" s="1"/>
  <c r="L53" i="18" s="1"/>
  <c r="L98" i="18"/>
  <c r="O98" i="18" s="1"/>
  <c r="K249" i="18"/>
  <c r="N252" i="18"/>
  <c r="N250" i="18" s="1"/>
  <c r="P333" i="18"/>
  <c r="K343" i="18"/>
  <c r="K398" i="18"/>
  <c r="K424" i="18"/>
  <c r="K431" i="18"/>
  <c r="K455" i="18"/>
  <c r="P19" i="1"/>
  <c r="N19" i="1"/>
  <c r="L19" i="1"/>
  <c r="O21" i="1"/>
  <c r="K371" i="2"/>
  <c r="I371" i="1"/>
  <c r="K371" i="1" s="1"/>
  <c r="K431" i="2"/>
  <c r="I431" i="1"/>
  <c r="K486" i="2"/>
  <c r="I486" i="1"/>
  <c r="K486" i="1" s="1"/>
  <c r="N55" i="3"/>
  <c r="P55" i="3" s="1"/>
  <c r="N22" i="3"/>
  <c r="P57" i="3"/>
  <c r="M9" i="1"/>
  <c r="K420" i="2"/>
  <c r="J420" i="1"/>
  <c r="K455" i="2"/>
  <c r="I455" i="1"/>
  <c r="K499" i="2"/>
  <c r="J499" i="1"/>
  <c r="N32" i="2"/>
  <c r="O553" i="2"/>
  <c r="N553" i="1"/>
  <c r="N568" i="1"/>
  <c r="O568" i="2"/>
  <c r="K617" i="2"/>
  <c r="I611" i="1"/>
  <c r="K614" i="2"/>
  <c r="K619" i="2"/>
  <c r="K611" i="2"/>
  <c r="K616" i="2"/>
  <c r="K618" i="2"/>
  <c r="K615" i="2"/>
  <c r="K612" i="2"/>
  <c r="P24" i="2"/>
  <c r="M14" i="2"/>
  <c r="P14" i="2" s="1"/>
  <c r="O49" i="2"/>
  <c r="L26" i="2"/>
  <c r="M329" i="2"/>
  <c r="O347" i="2"/>
  <c r="N347" i="1"/>
  <c r="L34" i="2"/>
  <c r="O385" i="2"/>
  <c r="L385" i="1"/>
  <c r="K451" i="2"/>
  <c r="I451" i="1"/>
  <c r="K470" i="2"/>
  <c r="I470" i="1"/>
  <c r="K470" i="1" s="1"/>
  <c r="K510" i="2"/>
  <c r="I510" i="1"/>
  <c r="K510" i="1" s="1"/>
  <c r="O354" i="3"/>
  <c r="N34" i="3"/>
  <c r="N14" i="3" s="1"/>
  <c r="K469" i="3"/>
  <c r="I469" i="1"/>
  <c r="K469" i="1" s="1"/>
  <c r="K493" i="3"/>
  <c r="I493" i="1"/>
  <c r="K493" i="1" s="1"/>
  <c r="O535" i="3"/>
  <c r="L535" i="1"/>
  <c r="L32" i="3"/>
  <c r="O21" i="2"/>
  <c r="L19" i="2"/>
  <c r="M250" i="2"/>
  <c r="P252" i="2"/>
  <c r="P314" i="2"/>
  <c r="M312" i="2"/>
  <c r="K428" i="2"/>
  <c r="J428" i="1"/>
  <c r="I564" i="1"/>
  <c r="K564" i="2"/>
  <c r="N584" i="1"/>
  <c r="O584" i="2"/>
  <c r="P11" i="3"/>
  <c r="M9" i="3"/>
  <c r="P221" i="3"/>
  <c r="M220" i="3"/>
  <c r="M221" i="1"/>
  <c r="P221" i="1" s="1"/>
  <c r="L31" i="4"/>
  <c r="O351" i="4"/>
  <c r="K503" i="4"/>
  <c r="I503" i="1"/>
  <c r="K503" i="1" s="1"/>
  <c r="P33" i="2"/>
  <c r="M13" i="2"/>
  <c r="P13" i="2" s="1"/>
  <c r="O54" i="2"/>
  <c r="K342" i="2"/>
  <c r="I342" i="1"/>
  <c r="K342" i="1" s="1"/>
  <c r="N31" i="2"/>
  <c r="N382" i="1"/>
  <c r="O406" i="2"/>
  <c r="L406" i="1"/>
  <c r="K494" i="2"/>
  <c r="I494" i="1"/>
  <c r="K494" i="1" s="1"/>
  <c r="O536" i="2"/>
  <c r="L33" i="2"/>
  <c r="O33" i="2" s="1"/>
  <c r="L536" i="1"/>
  <c r="N599" i="1"/>
  <c r="O599" i="2"/>
  <c r="J633" i="1"/>
  <c r="K633" i="2"/>
  <c r="P29" i="3"/>
  <c r="M28" i="3"/>
  <c r="P28" i="3" s="1"/>
  <c r="P70" i="3"/>
  <c r="N68" i="3"/>
  <c r="P68" i="3" s="1"/>
  <c r="L222" i="3"/>
  <c r="O224" i="3"/>
  <c r="M13" i="1"/>
  <c r="P13" i="1" s="1"/>
  <c r="L57" i="2"/>
  <c r="L24" i="2"/>
  <c r="O95" i="2"/>
  <c r="M220" i="2"/>
  <c r="O439" i="2"/>
  <c r="N34" i="2"/>
  <c r="N14" i="2" s="1"/>
  <c r="N439" i="1"/>
  <c r="K478" i="2"/>
  <c r="I478" i="1"/>
  <c r="K478" i="1" s="1"/>
  <c r="I580" i="1"/>
  <c r="K580" i="2"/>
  <c r="L15" i="1"/>
  <c r="O15" i="1" s="1"/>
  <c r="M28" i="1"/>
  <c r="P28" i="1" s="1"/>
  <c r="L42" i="1"/>
  <c r="P42" i="2"/>
  <c r="L98" i="2"/>
  <c r="L23" i="2"/>
  <c r="K423" i="2"/>
  <c r="I423" i="1"/>
  <c r="K502" i="2"/>
  <c r="I502" i="1"/>
  <c r="K502" i="1" s="1"/>
  <c r="I595" i="1"/>
  <c r="K595" i="2"/>
  <c r="P98" i="3"/>
  <c r="M22" i="3"/>
  <c r="P144" i="3"/>
  <c r="M142" i="3"/>
  <c r="P29" i="2"/>
  <c r="M28" i="2"/>
  <c r="P28" i="2" s="1"/>
  <c r="P67" i="2"/>
  <c r="K350" i="2"/>
  <c r="I350" i="1"/>
  <c r="K435" i="2"/>
  <c r="I435" i="1"/>
  <c r="K435" i="1" s="1"/>
  <c r="O459" i="2"/>
  <c r="N459" i="1"/>
  <c r="O533" i="2"/>
  <c r="N533" i="1"/>
  <c r="I628" i="1"/>
  <c r="K628" i="2"/>
  <c r="P19" i="3"/>
  <c r="O25" i="3"/>
  <c r="L15" i="3"/>
  <c r="O15" i="3" s="1"/>
  <c r="L19" i="3"/>
  <c r="N96" i="3"/>
  <c r="P272" i="3"/>
  <c r="P291" i="3"/>
  <c r="M290" i="3"/>
  <c r="P290" i="3" s="1"/>
  <c r="P21" i="4"/>
  <c r="M11" i="4"/>
  <c r="M19" i="4"/>
  <c r="O272" i="4"/>
  <c r="N32" i="4"/>
  <c r="O383" i="4"/>
  <c r="K626" i="4"/>
  <c r="K623" i="4"/>
  <c r="K620" i="4"/>
  <c r="K625" i="4"/>
  <c r="K624" i="4"/>
  <c r="K621" i="4"/>
  <c r="M22" i="2"/>
  <c r="L23" i="3"/>
  <c r="N222" i="3"/>
  <c r="L34" i="4"/>
  <c r="O537" i="4"/>
  <c r="O119" i="5"/>
  <c r="L314" i="5"/>
  <c r="K340" i="5"/>
  <c r="M19" i="2"/>
  <c r="N22" i="2"/>
  <c r="K626" i="2"/>
  <c r="M14" i="3"/>
  <c r="P14" i="3" s="1"/>
  <c r="N26" i="3"/>
  <c r="M66" i="3"/>
  <c r="M102" i="3"/>
  <c r="M118" i="3"/>
  <c r="P118" i="3" s="1"/>
  <c r="P49" i="4"/>
  <c r="M26" i="4"/>
  <c r="P224" i="4"/>
  <c r="M222" i="4"/>
  <c r="M22" i="4"/>
  <c r="P311" i="4"/>
  <c r="M310" i="4"/>
  <c r="L57" i="5"/>
  <c r="L23" i="5"/>
  <c r="O67" i="5"/>
  <c r="M140" i="5"/>
  <c r="O298" i="5"/>
  <c r="L26" i="5"/>
  <c r="P311" i="5"/>
  <c r="O351" i="5"/>
  <c r="L31" i="5"/>
  <c r="L11" i="5" s="1"/>
  <c r="P9" i="5"/>
  <c r="P252" i="5"/>
  <c r="M250" i="5"/>
  <c r="P250" i="5" s="1"/>
  <c r="M271" i="5"/>
  <c r="P31" i="2"/>
  <c r="M43" i="3"/>
  <c r="M252" i="3"/>
  <c r="P29" i="4"/>
  <c r="M28" i="4"/>
  <c r="P28" i="4" s="1"/>
  <c r="O119" i="4"/>
  <c r="L314" i="4"/>
  <c r="L24" i="4"/>
  <c r="P19" i="5"/>
  <c r="P224" i="5"/>
  <c r="M222" i="5"/>
  <c r="O272" i="5"/>
  <c r="M120" i="2"/>
  <c r="M118" i="2" s="1"/>
  <c r="M273" i="2"/>
  <c r="K264" i="3"/>
  <c r="P294" i="3"/>
  <c r="P311" i="3"/>
  <c r="P333" i="3"/>
  <c r="M331" i="3"/>
  <c r="M329" i="3" s="1"/>
  <c r="O67" i="4"/>
  <c r="K622" i="4"/>
  <c r="N29" i="5"/>
  <c r="M11" i="2"/>
  <c r="M94" i="2"/>
  <c r="I367" i="2"/>
  <c r="K367" i="2" s="1"/>
  <c r="K328" i="3"/>
  <c r="N331" i="3"/>
  <c r="L23" i="4"/>
  <c r="M140" i="4"/>
  <c r="M250" i="4"/>
  <c r="O42" i="5"/>
  <c r="K613" i="4"/>
  <c r="P32" i="6"/>
  <c r="M30" i="6"/>
  <c r="P30" i="6" s="1"/>
  <c r="P57" i="6"/>
  <c r="M55" i="6"/>
  <c r="M22" i="6"/>
  <c r="N142" i="6"/>
  <c r="N252" i="6"/>
  <c r="L122" i="7"/>
  <c r="L23" i="7"/>
  <c r="K622" i="3"/>
  <c r="K616" i="4"/>
  <c r="M68" i="5"/>
  <c r="M66" i="5" s="1"/>
  <c r="P66" i="5" s="1"/>
  <c r="M120" i="5"/>
  <c r="L142" i="5"/>
  <c r="O566" i="5"/>
  <c r="P23" i="6"/>
  <c r="M13" i="6"/>
  <c r="P13" i="6" s="1"/>
  <c r="K547" i="6"/>
  <c r="K630" i="6"/>
  <c r="P45" i="7"/>
  <c r="I367" i="3"/>
  <c r="K367" i="3" s="1"/>
  <c r="K617" i="3"/>
  <c r="K625" i="3"/>
  <c r="N19" i="4"/>
  <c r="N68" i="4"/>
  <c r="N273" i="4"/>
  <c r="P273" i="4" s="1"/>
  <c r="K371" i="4"/>
  <c r="K611" i="4"/>
  <c r="K619" i="4"/>
  <c r="L19" i="5"/>
  <c r="M22" i="5"/>
  <c r="M55" i="5"/>
  <c r="N273" i="5"/>
  <c r="N271" i="5" s="1"/>
  <c r="P70" i="6"/>
  <c r="M68" i="6"/>
  <c r="P9" i="7"/>
  <c r="O19" i="7"/>
  <c r="N22" i="7"/>
  <c r="N43" i="7"/>
  <c r="N41" i="7" s="1"/>
  <c r="P54" i="7"/>
  <c r="M53" i="7"/>
  <c r="P19" i="8"/>
  <c r="O19" i="6"/>
  <c r="O439" i="6"/>
  <c r="L34" i="6"/>
  <c r="K597" i="6"/>
  <c r="O74" i="7"/>
  <c r="M74" i="7"/>
  <c r="P9" i="8"/>
  <c r="K623" i="3"/>
  <c r="K617" i="4"/>
  <c r="I367" i="5"/>
  <c r="K367" i="5" s="1"/>
  <c r="P19" i="6"/>
  <c r="P122" i="6"/>
  <c r="M120" i="6"/>
  <c r="M331" i="6"/>
  <c r="O352" i="6"/>
  <c r="N32" i="6"/>
  <c r="N30" i="6" s="1"/>
  <c r="K626" i="3"/>
  <c r="K612" i="4"/>
  <c r="N22" i="6"/>
  <c r="N43" i="6"/>
  <c r="P45" i="6"/>
  <c r="P102" i="6"/>
  <c r="M26" i="6"/>
  <c r="O221" i="6"/>
  <c r="O553" i="6"/>
  <c r="L32" i="6"/>
  <c r="P49" i="7"/>
  <c r="M140" i="7"/>
  <c r="K613" i="3"/>
  <c r="K621" i="3"/>
  <c r="M331" i="4"/>
  <c r="K615" i="4"/>
  <c r="O21" i="6"/>
  <c r="P275" i="6"/>
  <c r="M273" i="6"/>
  <c r="O382" i="6"/>
  <c r="L31" i="6"/>
  <c r="P32" i="7"/>
  <c r="M30" i="7"/>
  <c r="O61" i="7"/>
  <c r="K109" i="7"/>
  <c r="M43" i="4"/>
  <c r="M66" i="4"/>
  <c r="M271" i="4"/>
  <c r="M14" i="5"/>
  <c r="P14" i="5" s="1"/>
  <c r="P23" i="7"/>
  <c r="M13" i="7"/>
  <c r="P13" i="7" s="1"/>
  <c r="O119" i="7"/>
  <c r="K613" i="7"/>
  <c r="P57" i="9"/>
  <c r="P98" i="9"/>
  <c r="M96" i="9"/>
  <c r="M22" i="9"/>
  <c r="K612" i="5"/>
  <c r="L26" i="6"/>
  <c r="K612" i="6"/>
  <c r="K620" i="6"/>
  <c r="L26" i="7"/>
  <c r="K616" i="7"/>
  <c r="K624" i="7"/>
  <c r="M102" i="8"/>
  <c r="P102" i="8" s="1"/>
  <c r="P11" i="9"/>
  <c r="N55" i="9"/>
  <c r="N53" i="9" s="1"/>
  <c r="N22" i="9"/>
  <c r="M220" i="9"/>
  <c r="K615" i="5"/>
  <c r="K623" i="5"/>
  <c r="M9" i="6"/>
  <c r="O49" i="6"/>
  <c r="L57" i="6"/>
  <c r="N222" i="6"/>
  <c r="K615" i="6"/>
  <c r="K623" i="6"/>
  <c r="M252" i="7"/>
  <c r="N273" i="7"/>
  <c r="N271" i="7" s="1"/>
  <c r="P271" i="7" s="1"/>
  <c r="K611" i="7"/>
  <c r="K619" i="7"/>
  <c r="N43" i="8"/>
  <c r="N41" i="8" s="1"/>
  <c r="M312" i="8"/>
  <c r="K371" i="8"/>
  <c r="I367" i="8"/>
  <c r="K367" i="8" s="1"/>
  <c r="K614" i="8"/>
  <c r="K619" i="8"/>
  <c r="K611" i="8"/>
  <c r="K616" i="8"/>
  <c r="K618" i="8"/>
  <c r="K615" i="8"/>
  <c r="K612" i="8"/>
  <c r="K617" i="8"/>
  <c r="K614" i="7"/>
  <c r="K622" i="7"/>
  <c r="P11" i="8"/>
  <c r="L15" i="8"/>
  <c r="M28" i="8"/>
  <c r="P28" i="8" s="1"/>
  <c r="M68" i="8"/>
  <c r="M120" i="8"/>
  <c r="M273" i="8"/>
  <c r="L333" i="8"/>
  <c r="K435" i="8"/>
  <c r="P29" i="9"/>
  <c r="K613" i="5"/>
  <c r="K613" i="6"/>
  <c r="K621" i="6"/>
  <c r="I367" i="7"/>
  <c r="K367" i="7" s="1"/>
  <c r="K617" i="7"/>
  <c r="K625" i="7"/>
  <c r="M55" i="8"/>
  <c r="K616" i="5"/>
  <c r="K624" i="5"/>
  <c r="K616" i="6"/>
  <c r="K624" i="6"/>
  <c r="M43" i="7"/>
  <c r="M222" i="7"/>
  <c r="K612" i="7"/>
  <c r="M49" i="8"/>
  <c r="K431" i="8"/>
  <c r="O25" i="9"/>
  <c r="L15" i="9"/>
  <c r="O15" i="9" s="1"/>
  <c r="L19" i="9"/>
  <c r="K611" i="5"/>
  <c r="K619" i="5"/>
  <c r="M96" i="6"/>
  <c r="M142" i="6"/>
  <c r="M252" i="6"/>
  <c r="K611" i="6"/>
  <c r="K619" i="6"/>
  <c r="K615" i="7"/>
  <c r="P19" i="9"/>
  <c r="L15" i="6"/>
  <c r="O15" i="6" s="1"/>
  <c r="M28" i="6"/>
  <c r="P28" i="6" s="1"/>
  <c r="M220" i="6"/>
  <c r="N331" i="7"/>
  <c r="N329" i="7" s="1"/>
  <c r="O330" i="8"/>
  <c r="O406" i="8"/>
  <c r="K625" i="8"/>
  <c r="M15" i="9"/>
  <c r="P15" i="9" s="1"/>
  <c r="P25" i="9"/>
  <c r="P34" i="9"/>
  <c r="L122" i="9"/>
  <c r="P224" i="9"/>
  <c r="N96" i="10"/>
  <c r="N94" i="10" s="1"/>
  <c r="O337" i="8"/>
  <c r="K620" i="8"/>
  <c r="M30" i="9"/>
  <c r="P30" i="9" s="1"/>
  <c r="M118" i="9"/>
  <c r="P118" i="9" s="1"/>
  <c r="M271" i="9"/>
  <c r="P271" i="9" s="1"/>
  <c r="P144" i="10"/>
  <c r="N142" i="10"/>
  <c r="N140" i="10" s="1"/>
  <c r="N22" i="10"/>
  <c r="P144" i="11"/>
  <c r="M142" i="11"/>
  <c r="M22" i="11"/>
  <c r="K623" i="8"/>
  <c r="O228" i="10"/>
  <c r="L26" i="10"/>
  <c r="P312" i="10"/>
  <c r="M310" i="10"/>
  <c r="P310" i="10" s="1"/>
  <c r="K626" i="8"/>
  <c r="O291" i="10"/>
  <c r="O353" i="10"/>
  <c r="L33" i="10"/>
  <c r="O33" i="10" s="1"/>
  <c r="M337" i="9"/>
  <c r="M331" i="9" s="1"/>
  <c r="P29" i="10"/>
  <c r="M28" i="10"/>
  <c r="P28" i="10" s="1"/>
  <c r="M55" i="9"/>
  <c r="I367" i="9"/>
  <c r="K367" i="9" s="1"/>
  <c r="P25" i="10"/>
  <c r="M15" i="10"/>
  <c r="P15" i="10" s="1"/>
  <c r="M19" i="10"/>
  <c r="P330" i="10"/>
  <c r="L333" i="10"/>
  <c r="L24" i="10"/>
  <c r="M290" i="9"/>
  <c r="P290" i="9" s="1"/>
  <c r="P34" i="10"/>
  <c r="M14" i="10"/>
  <c r="P14" i="10" s="1"/>
  <c r="M94" i="10"/>
  <c r="P94" i="10" s="1"/>
  <c r="P96" i="10"/>
  <c r="P337" i="10"/>
  <c r="M331" i="10"/>
  <c r="O385" i="10"/>
  <c r="N34" i="10"/>
  <c r="K612" i="9"/>
  <c r="K620" i="9"/>
  <c r="N15" i="10"/>
  <c r="P31" i="10"/>
  <c r="L45" i="10"/>
  <c r="P98" i="10"/>
  <c r="O337" i="10"/>
  <c r="K618" i="10"/>
  <c r="K615" i="10"/>
  <c r="K612" i="10"/>
  <c r="K617" i="10"/>
  <c r="K614" i="10"/>
  <c r="K619" i="10"/>
  <c r="K611" i="10"/>
  <c r="K616" i="10"/>
  <c r="M9" i="12"/>
  <c r="P11" i="12"/>
  <c r="P74" i="12"/>
  <c r="O141" i="12"/>
  <c r="L33" i="12"/>
  <c r="O33" i="12" s="1"/>
  <c r="O438" i="12"/>
  <c r="K615" i="9"/>
  <c r="K623" i="9"/>
  <c r="M74" i="10"/>
  <c r="P254" i="11"/>
  <c r="M252" i="11"/>
  <c r="N31" i="11"/>
  <c r="N29" i="11" s="1"/>
  <c r="P29" i="12"/>
  <c r="M28" i="12"/>
  <c r="P28" i="12" s="1"/>
  <c r="O95" i="12"/>
  <c r="K424" i="12"/>
  <c r="P15" i="13"/>
  <c r="M9" i="13"/>
  <c r="K618" i="9"/>
  <c r="K626" i="9"/>
  <c r="M271" i="10"/>
  <c r="M292" i="10"/>
  <c r="M290" i="10" s="1"/>
  <c r="P290" i="10" s="1"/>
  <c r="O25" i="11"/>
  <c r="L15" i="11"/>
  <c r="O15" i="11" s="1"/>
  <c r="N22" i="11"/>
  <c r="L26" i="11"/>
  <c r="O102" i="11"/>
  <c r="L19" i="12"/>
  <c r="M68" i="12"/>
  <c r="P333" i="12"/>
  <c r="M331" i="12"/>
  <c r="K613" i="9"/>
  <c r="K621" i="9"/>
  <c r="M11" i="10"/>
  <c r="M140" i="10"/>
  <c r="P222" i="10"/>
  <c r="K426" i="10"/>
  <c r="P19" i="11"/>
  <c r="L24" i="11"/>
  <c r="L33" i="11"/>
  <c r="O33" i="11" s="1"/>
  <c r="O536" i="11"/>
  <c r="K618" i="11"/>
  <c r="K615" i="11"/>
  <c r="K612" i="11"/>
  <c r="K617" i="11"/>
  <c r="K614" i="11"/>
  <c r="K619" i="11"/>
  <c r="K611" i="11"/>
  <c r="K616" i="11"/>
  <c r="P19" i="12"/>
  <c r="L24" i="12"/>
  <c r="L23" i="12"/>
  <c r="L98" i="12"/>
  <c r="N331" i="12"/>
  <c r="N329" i="12" s="1"/>
  <c r="K343" i="12"/>
  <c r="K432" i="12"/>
  <c r="O455" i="12"/>
  <c r="P221" i="11"/>
  <c r="M290" i="11"/>
  <c r="P290" i="11" s="1"/>
  <c r="P292" i="11"/>
  <c r="O439" i="11"/>
  <c r="O599" i="11"/>
  <c r="O25" i="12"/>
  <c r="L15" i="12"/>
  <c r="O15" i="12" s="1"/>
  <c r="P122" i="11"/>
  <c r="N120" i="11"/>
  <c r="P275" i="11"/>
  <c r="N273" i="11"/>
  <c r="N271" i="11" s="1"/>
  <c r="L23" i="11"/>
  <c r="L333" i="11"/>
  <c r="K189" i="12"/>
  <c r="K235" i="12"/>
  <c r="K375" i="12"/>
  <c r="K622" i="9"/>
  <c r="K613" i="10"/>
  <c r="O330" i="11"/>
  <c r="O459" i="11"/>
  <c r="K112" i="12"/>
  <c r="K266" i="12"/>
  <c r="P337" i="12"/>
  <c r="K396" i="12"/>
  <c r="O552" i="12"/>
  <c r="L31" i="12"/>
  <c r="I367" i="10"/>
  <c r="K367" i="10" s="1"/>
  <c r="K473" i="10"/>
  <c r="M9" i="11"/>
  <c r="P11" i="11"/>
  <c r="P29" i="11"/>
  <c r="M28" i="11"/>
  <c r="P28" i="11" s="1"/>
  <c r="N26" i="11"/>
  <c r="N16" i="11" s="1"/>
  <c r="P337" i="11"/>
  <c r="M331" i="11"/>
  <c r="O568" i="11"/>
  <c r="K633" i="11"/>
  <c r="P119" i="12"/>
  <c r="M118" i="12"/>
  <c r="O251" i="12"/>
  <c r="P272" i="12"/>
  <c r="L26" i="12"/>
  <c r="O318" i="12"/>
  <c r="K372" i="12"/>
  <c r="K416" i="12"/>
  <c r="M66" i="11"/>
  <c r="M43" i="12"/>
  <c r="P45" i="12"/>
  <c r="M222" i="12"/>
  <c r="M290" i="12"/>
  <c r="P290" i="12" s="1"/>
  <c r="O337" i="12"/>
  <c r="K612" i="12"/>
  <c r="K620" i="12"/>
  <c r="L19" i="11"/>
  <c r="N43" i="11"/>
  <c r="N41" i="11" s="1"/>
  <c r="M13" i="12"/>
  <c r="P13" i="12" s="1"/>
  <c r="P32" i="12"/>
  <c r="N43" i="12"/>
  <c r="N41" i="12" s="1"/>
  <c r="M53" i="12"/>
  <c r="K615" i="12"/>
  <c r="P98" i="13"/>
  <c r="M96" i="13"/>
  <c r="M102" i="12"/>
  <c r="M26" i="12" s="1"/>
  <c r="K618" i="12"/>
  <c r="L19" i="13"/>
  <c r="I367" i="11"/>
  <c r="K367" i="11" s="1"/>
  <c r="K613" i="12"/>
  <c r="M49" i="11"/>
  <c r="M43" i="11" s="1"/>
  <c r="K616" i="12"/>
  <c r="K624" i="12"/>
  <c r="P21" i="13"/>
  <c r="P221" i="13"/>
  <c r="L24" i="13"/>
  <c r="L224" i="13"/>
  <c r="P29" i="13"/>
  <c r="M28" i="13"/>
  <c r="P28" i="13" s="1"/>
  <c r="P254" i="13"/>
  <c r="M252" i="13"/>
  <c r="P275" i="13"/>
  <c r="N273" i="13"/>
  <c r="N271" i="13" s="1"/>
  <c r="M14" i="11"/>
  <c r="P14" i="11" s="1"/>
  <c r="M118" i="11"/>
  <c r="M271" i="11"/>
  <c r="N26" i="12"/>
  <c r="N16" i="12" s="1"/>
  <c r="L15" i="13"/>
  <c r="O15" i="13" s="1"/>
  <c r="M22" i="13"/>
  <c r="P45" i="13"/>
  <c r="M43" i="13"/>
  <c r="N55" i="13"/>
  <c r="N53" i="13" s="1"/>
  <c r="N22" i="13"/>
  <c r="P57" i="13"/>
  <c r="P9" i="14"/>
  <c r="K613" i="13"/>
  <c r="P102" i="14"/>
  <c r="M96" i="14"/>
  <c r="M310" i="14"/>
  <c r="P310" i="14" s="1"/>
  <c r="P312" i="14"/>
  <c r="P34" i="15"/>
  <c r="M14" i="15"/>
  <c r="P14" i="15" s="1"/>
  <c r="K616" i="13"/>
  <c r="K624" i="13"/>
  <c r="M41" i="14"/>
  <c r="M66" i="15"/>
  <c r="K611" i="13"/>
  <c r="K619" i="13"/>
  <c r="M13" i="14"/>
  <c r="P13" i="14" s="1"/>
  <c r="L19" i="14"/>
  <c r="P45" i="14"/>
  <c r="P57" i="14"/>
  <c r="L70" i="14"/>
  <c r="P330" i="14"/>
  <c r="M337" i="13"/>
  <c r="M331" i="13" s="1"/>
  <c r="K614" i="13"/>
  <c r="K622" i="13"/>
  <c r="P11" i="14"/>
  <c r="L15" i="14"/>
  <c r="O15" i="14" s="1"/>
  <c r="N22" i="14"/>
  <c r="I367" i="13"/>
  <c r="K367" i="13" s="1"/>
  <c r="K617" i="13"/>
  <c r="K625" i="13"/>
  <c r="N19" i="14"/>
  <c r="P25" i="15"/>
  <c r="M15" i="15"/>
  <c r="P15" i="15" s="1"/>
  <c r="M41" i="15"/>
  <c r="P98" i="15"/>
  <c r="M96" i="15"/>
  <c r="M22" i="15"/>
  <c r="M222" i="13"/>
  <c r="K612" i="13"/>
  <c r="K620" i="13"/>
  <c r="P67" i="14"/>
  <c r="K615" i="13"/>
  <c r="K623" i="13"/>
  <c r="L23" i="14"/>
  <c r="M29" i="14"/>
  <c r="P32" i="14"/>
  <c r="M68" i="14"/>
  <c r="P68" i="14" s="1"/>
  <c r="M19" i="15"/>
  <c r="M271" i="13"/>
  <c r="M14" i="14"/>
  <c r="P14" i="14" s="1"/>
  <c r="L33" i="14"/>
  <c r="O33" i="14" s="1"/>
  <c r="O49" i="14"/>
  <c r="O291" i="14"/>
  <c r="K618" i="14"/>
  <c r="K626" i="14"/>
  <c r="O102" i="15"/>
  <c r="P275" i="15"/>
  <c r="N273" i="15"/>
  <c r="N271" i="15" s="1"/>
  <c r="P311" i="16"/>
  <c r="K613" i="14"/>
  <c r="K621" i="14"/>
  <c r="M11" i="15"/>
  <c r="P21" i="15"/>
  <c r="M29" i="15"/>
  <c r="M53" i="15"/>
  <c r="K83" i="15"/>
  <c r="N120" i="15"/>
  <c r="N118" i="15" s="1"/>
  <c r="K219" i="15"/>
  <c r="L24" i="16"/>
  <c r="P224" i="16"/>
  <c r="M222" i="16"/>
  <c r="P254" i="15"/>
  <c r="M252" i="15"/>
  <c r="O330" i="15"/>
  <c r="K612" i="15"/>
  <c r="K617" i="15"/>
  <c r="K614" i="15"/>
  <c r="K619" i="15"/>
  <c r="K611" i="15"/>
  <c r="K616" i="15"/>
  <c r="K618" i="15"/>
  <c r="K615" i="15"/>
  <c r="M220" i="14"/>
  <c r="M337" i="14"/>
  <c r="P337" i="14" s="1"/>
  <c r="K614" i="14"/>
  <c r="K622" i="14"/>
  <c r="M142" i="15"/>
  <c r="P29" i="16"/>
  <c r="M28" i="16"/>
  <c r="P28" i="16" s="1"/>
  <c r="P74" i="16"/>
  <c r="M26" i="16"/>
  <c r="I367" i="14"/>
  <c r="K367" i="14" s="1"/>
  <c r="K617" i="14"/>
  <c r="K625" i="14"/>
  <c r="K81" i="15"/>
  <c r="P148" i="15"/>
  <c r="P221" i="15"/>
  <c r="M220" i="15"/>
  <c r="O347" i="15"/>
  <c r="K368" i="15"/>
  <c r="O439" i="15"/>
  <c r="O599" i="15"/>
  <c r="P11" i="16"/>
  <c r="P19" i="17"/>
  <c r="P19" i="16"/>
  <c r="O119" i="17"/>
  <c r="K82" i="15"/>
  <c r="N142" i="15"/>
  <c r="N140" i="15" s="1"/>
  <c r="M271" i="15"/>
  <c r="O459" i="15"/>
  <c r="O25" i="16"/>
  <c r="L15" i="16"/>
  <c r="O15" i="16" s="1"/>
  <c r="L19" i="16"/>
  <c r="L122" i="16"/>
  <c r="L23" i="16"/>
  <c r="O119" i="16"/>
  <c r="P333" i="16"/>
  <c r="N331" i="16"/>
  <c r="N329" i="16" s="1"/>
  <c r="P25" i="17"/>
  <c r="M15" i="17"/>
  <c r="P15" i="17" s="1"/>
  <c r="O42" i="17"/>
  <c r="N26" i="16"/>
  <c r="N16" i="16" s="1"/>
  <c r="K573" i="16"/>
  <c r="K624" i="15"/>
  <c r="M43" i="16"/>
  <c r="P45" i="16"/>
  <c r="O272" i="16"/>
  <c r="N26" i="17"/>
  <c r="N16" i="17" s="1"/>
  <c r="O228" i="17"/>
  <c r="L26" i="17"/>
  <c r="P294" i="17"/>
  <c r="M292" i="17"/>
  <c r="M13" i="16"/>
  <c r="P13" i="16" s="1"/>
  <c r="P32" i="16"/>
  <c r="K84" i="16"/>
  <c r="O354" i="16"/>
  <c r="K381" i="16"/>
  <c r="O49" i="17"/>
  <c r="P141" i="17"/>
  <c r="M140" i="17"/>
  <c r="N331" i="17"/>
  <c r="N329" i="17" s="1"/>
  <c r="M337" i="15"/>
  <c r="M26" i="15" s="1"/>
  <c r="K622" i="15"/>
  <c r="N22" i="16"/>
  <c r="M68" i="16"/>
  <c r="P141" i="16"/>
  <c r="P294" i="16"/>
  <c r="M292" i="16"/>
  <c r="P21" i="17"/>
  <c r="M11" i="17"/>
  <c r="M22" i="17"/>
  <c r="M43" i="17"/>
  <c r="P45" i="17"/>
  <c r="I367" i="15"/>
  <c r="K367" i="15" s="1"/>
  <c r="M15" i="16"/>
  <c r="P15" i="16" s="1"/>
  <c r="M55" i="16"/>
  <c r="P251" i="16"/>
  <c r="N19" i="17"/>
  <c r="L57" i="17"/>
  <c r="L23" i="17"/>
  <c r="N252" i="17"/>
  <c r="M118" i="15"/>
  <c r="L26" i="16"/>
  <c r="M118" i="16"/>
  <c r="L294" i="16"/>
  <c r="K466" i="16"/>
  <c r="P251" i="17"/>
  <c r="M250" i="17"/>
  <c r="M329" i="16"/>
  <c r="K597" i="16"/>
  <c r="K625" i="16"/>
  <c r="K621" i="16"/>
  <c r="K630" i="16"/>
  <c r="N43" i="17"/>
  <c r="N41" i="17" s="1"/>
  <c r="K186" i="17"/>
  <c r="O291" i="17"/>
  <c r="P330" i="17"/>
  <c r="M329" i="17"/>
  <c r="N34" i="17"/>
  <c r="N14" i="17" s="1"/>
  <c r="O354" i="17"/>
  <c r="N34" i="18"/>
  <c r="N14" i="18" s="1"/>
  <c r="O439" i="18"/>
  <c r="K429" i="17"/>
  <c r="K455" i="17"/>
  <c r="P98" i="18"/>
  <c r="M96" i="18"/>
  <c r="M22" i="18"/>
  <c r="P95" i="17"/>
  <c r="P254" i="17"/>
  <c r="P311" i="17"/>
  <c r="P333" i="17"/>
  <c r="L34" i="17"/>
  <c r="K589" i="16"/>
  <c r="K595" i="16"/>
  <c r="K628" i="16"/>
  <c r="P57" i="17"/>
  <c r="M55" i="17"/>
  <c r="O67" i="17"/>
  <c r="O221" i="17"/>
  <c r="K267" i="17"/>
  <c r="N32" i="17"/>
  <c r="N30" i="17" s="1"/>
  <c r="O385" i="17"/>
  <c r="K417" i="17"/>
  <c r="P254" i="18"/>
  <c r="M252" i="18"/>
  <c r="P54" i="17"/>
  <c r="M118" i="17"/>
  <c r="O272" i="17"/>
  <c r="O439" i="17"/>
  <c r="P221" i="18"/>
  <c r="K562" i="16"/>
  <c r="K624" i="16"/>
  <c r="P23" i="17"/>
  <c r="M13" i="17"/>
  <c r="P13" i="17" s="1"/>
  <c r="M28" i="17"/>
  <c r="P28" i="17" s="1"/>
  <c r="P49" i="17"/>
  <c r="K113" i="17"/>
  <c r="K350" i="17"/>
  <c r="K376" i="17"/>
  <c r="K421" i="17"/>
  <c r="K435" i="17"/>
  <c r="K449" i="17"/>
  <c r="K464" i="17"/>
  <c r="P29" i="18"/>
  <c r="M28" i="18"/>
  <c r="P28" i="18" s="1"/>
  <c r="N26" i="18"/>
  <c r="N16" i="18" s="1"/>
  <c r="O102" i="18"/>
  <c r="L224" i="18"/>
  <c r="O330" i="18"/>
  <c r="L23" i="18"/>
  <c r="L333" i="18"/>
  <c r="K613" i="16"/>
  <c r="N55" i="18"/>
  <c r="N53" i="18" s="1"/>
  <c r="N22" i="18"/>
  <c r="P144" i="18"/>
  <c r="M142" i="18"/>
  <c r="K633" i="18"/>
  <c r="O584" i="18"/>
  <c r="K611" i="16"/>
  <c r="K619" i="16"/>
  <c r="O599" i="17"/>
  <c r="K618" i="17"/>
  <c r="K615" i="17"/>
  <c r="K612" i="17"/>
  <c r="K617" i="17"/>
  <c r="K614" i="17"/>
  <c r="K619" i="17"/>
  <c r="K611" i="17"/>
  <c r="K616" i="17"/>
  <c r="M9" i="18"/>
  <c r="P11" i="18"/>
  <c r="L24" i="18"/>
  <c r="N96" i="18"/>
  <c r="N94" i="18" s="1"/>
  <c r="L33" i="18"/>
  <c r="O33" i="18" s="1"/>
  <c r="O536" i="18"/>
  <c r="K618" i="18"/>
  <c r="K615" i="18"/>
  <c r="K612" i="18"/>
  <c r="K617" i="18"/>
  <c r="K614" i="18"/>
  <c r="K619" i="18"/>
  <c r="K611" i="18"/>
  <c r="K616" i="18"/>
  <c r="O533" i="17"/>
  <c r="P19" i="18"/>
  <c r="O25" i="18"/>
  <c r="L15" i="18"/>
  <c r="O15" i="18" s="1"/>
  <c r="I367" i="18"/>
  <c r="K367" i="18" s="1"/>
  <c r="K371" i="18"/>
  <c r="O533" i="18"/>
  <c r="P102" i="18"/>
  <c r="O347" i="18"/>
  <c r="K368" i="18"/>
  <c r="K499" i="18"/>
  <c r="K624" i="17"/>
  <c r="M43" i="18"/>
  <c r="M41" i="18" s="1"/>
  <c r="M68" i="18"/>
  <c r="N312" i="18"/>
  <c r="K624" i="18"/>
  <c r="M13" i="18"/>
  <c r="P13" i="18" s="1"/>
  <c r="L19" i="18"/>
  <c r="M55" i="18"/>
  <c r="K622" i="17"/>
  <c r="M337" i="18"/>
  <c r="P337" i="18" s="1"/>
  <c r="K622" i="18"/>
  <c r="K625" i="18"/>
  <c r="K620" i="17"/>
  <c r="L26" i="18"/>
  <c r="M290" i="18"/>
  <c r="K620" i="18"/>
  <c r="K623" i="17"/>
  <c r="M310" i="18"/>
  <c r="K623" i="18"/>
  <c r="M14" i="18"/>
  <c r="P14" i="18" s="1"/>
  <c r="M271" i="18"/>
  <c r="N28" i="12" l="1"/>
  <c r="L11" i="15"/>
  <c r="L29" i="3"/>
  <c r="O275" i="15"/>
  <c r="P252" i="4"/>
  <c r="O584" i="1"/>
  <c r="N290" i="18"/>
  <c r="P290" i="18" s="1"/>
  <c r="L96" i="14"/>
  <c r="O96" i="14" s="1"/>
  <c r="P250" i="4"/>
  <c r="K377" i="1"/>
  <c r="O537" i="1"/>
  <c r="L43" i="2"/>
  <c r="L41" i="2" s="1"/>
  <c r="O275" i="2"/>
  <c r="N53" i="4"/>
  <c r="P53" i="4" s="1"/>
  <c r="N140" i="7"/>
  <c r="P140" i="7" s="1"/>
  <c r="L68" i="13"/>
  <c r="O68" i="13" s="1"/>
  <c r="K380" i="1"/>
  <c r="K450" i="1"/>
  <c r="K547" i="1"/>
  <c r="P96" i="4"/>
  <c r="O457" i="1"/>
  <c r="P55" i="16"/>
  <c r="O275" i="12"/>
  <c r="O314" i="9"/>
  <c r="O580" i="1"/>
  <c r="K349" i="1"/>
  <c r="L252" i="5"/>
  <c r="L250" i="5" s="1"/>
  <c r="O250" i="5" s="1"/>
  <c r="O459" i="1"/>
  <c r="L55" i="7"/>
  <c r="O55" i="7" s="1"/>
  <c r="N43" i="1"/>
  <c r="N41" i="1" s="1"/>
  <c r="L331" i="6"/>
  <c r="O331" i="6" s="1"/>
  <c r="M66" i="17"/>
  <c r="P66" i="17" s="1"/>
  <c r="P118" i="12"/>
  <c r="K111" i="1"/>
  <c r="M310" i="5"/>
  <c r="P310" i="5" s="1"/>
  <c r="O122" i="18"/>
  <c r="L68" i="5"/>
  <c r="O68" i="5" s="1"/>
  <c r="L55" i="4"/>
  <c r="O55" i="4" s="1"/>
  <c r="L292" i="12"/>
  <c r="L290" i="12" s="1"/>
  <c r="O290" i="12" s="1"/>
  <c r="K499" i="1"/>
  <c r="O331" i="15"/>
  <c r="O273" i="3"/>
  <c r="O314" i="6"/>
  <c r="O34" i="6"/>
  <c r="N11" i="12"/>
  <c r="N9" i="12" s="1"/>
  <c r="K430" i="1"/>
  <c r="O555" i="1"/>
  <c r="L55" i="12"/>
  <c r="O55" i="12" s="1"/>
  <c r="O32" i="4"/>
  <c r="K108" i="1"/>
  <c r="K92" i="1"/>
  <c r="K481" i="1"/>
  <c r="O102" i="1"/>
  <c r="K65" i="1"/>
  <c r="O122" i="11"/>
  <c r="O333" i="5"/>
  <c r="L222" i="6"/>
  <c r="L220" i="6" s="1"/>
  <c r="K635" i="1"/>
  <c r="P331" i="2"/>
  <c r="L96" i="4"/>
  <c r="O96" i="4" s="1"/>
  <c r="L43" i="4"/>
  <c r="L96" i="15"/>
  <c r="O96" i="15" s="1"/>
  <c r="M118" i="7"/>
  <c r="P118" i="7" s="1"/>
  <c r="K428" i="1"/>
  <c r="O333" i="9"/>
  <c r="O254" i="18"/>
  <c r="O224" i="16"/>
  <c r="L11" i="17"/>
  <c r="O11" i="17" s="1"/>
  <c r="P222" i="15"/>
  <c r="L11" i="3"/>
  <c r="O11" i="3" s="1"/>
  <c r="P142" i="17"/>
  <c r="L11" i="9"/>
  <c r="O11" i="9" s="1"/>
  <c r="L142" i="17"/>
  <c r="O142" i="17" s="1"/>
  <c r="L29" i="15"/>
  <c r="O29" i="15" s="1"/>
  <c r="M94" i="11"/>
  <c r="P94" i="11" s="1"/>
  <c r="K81" i="1"/>
  <c r="O455" i="1"/>
  <c r="O349" i="1"/>
  <c r="P314" i="1"/>
  <c r="O337" i="1"/>
  <c r="L120" i="4"/>
  <c r="O120" i="4" s="1"/>
  <c r="L292" i="17"/>
  <c r="O292" i="17" s="1"/>
  <c r="O275" i="13"/>
  <c r="O275" i="11"/>
  <c r="L120" i="3"/>
  <c r="O120" i="3" s="1"/>
  <c r="O437" i="1"/>
  <c r="K580" i="1"/>
  <c r="K345" i="1"/>
  <c r="K110" i="1"/>
  <c r="P312" i="11"/>
  <c r="O34" i="4"/>
  <c r="K350" i="1"/>
  <c r="K158" i="1"/>
  <c r="K176" i="1"/>
  <c r="M66" i="13"/>
  <c r="P66" i="13" s="1"/>
  <c r="L273" i="18"/>
  <c r="L271" i="18" s="1"/>
  <c r="O271" i="18" s="1"/>
  <c r="P68" i="16"/>
  <c r="L222" i="15"/>
  <c r="O222" i="15" s="1"/>
  <c r="P331" i="10"/>
  <c r="L29" i="17"/>
  <c r="O29" i="17" s="1"/>
  <c r="K199" i="1"/>
  <c r="P271" i="16"/>
  <c r="K398" i="1"/>
  <c r="P43" i="14"/>
  <c r="O254" i="15"/>
  <c r="K464" i="1"/>
  <c r="P222" i="13"/>
  <c r="L14" i="5"/>
  <c r="O14" i="5" s="1"/>
  <c r="L292" i="6"/>
  <c r="K425" i="1"/>
  <c r="K229" i="1"/>
  <c r="P222" i="14"/>
  <c r="O252" i="12"/>
  <c r="P68" i="18"/>
  <c r="M250" i="10"/>
  <c r="P250" i="10" s="1"/>
  <c r="O222" i="10"/>
  <c r="K426" i="1"/>
  <c r="K381" i="1"/>
  <c r="K402" i="1"/>
  <c r="K343" i="1"/>
  <c r="O564" i="1"/>
  <c r="K113" i="1"/>
  <c r="M290" i="2"/>
  <c r="P290" i="2" s="1"/>
  <c r="P273" i="14"/>
  <c r="O30" i="8"/>
  <c r="O582" i="1"/>
  <c r="P273" i="16"/>
  <c r="L292" i="11"/>
  <c r="O292" i="11" s="1"/>
  <c r="K149" i="1"/>
  <c r="O224" i="10"/>
  <c r="L142" i="7"/>
  <c r="L140" i="7" s="1"/>
  <c r="K201" i="1"/>
  <c r="K328" i="1"/>
  <c r="L43" i="9"/>
  <c r="L41" i="9" s="1"/>
  <c r="O41" i="9" s="1"/>
  <c r="P275" i="1"/>
  <c r="K304" i="1"/>
  <c r="L312" i="18"/>
  <c r="L310" i="18" s="1"/>
  <c r="L312" i="7"/>
  <c r="L310" i="7" s="1"/>
  <c r="O310" i="7" s="1"/>
  <c r="K64" i="1"/>
  <c r="L292" i="14"/>
  <c r="O292" i="14" s="1"/>
  <c r="L312" i="12"/>
  <c r="O312" i="12" s="1"/>
  <c r="L142" i="18"/>
  <c r="L140" i="18" s="1"/>
  <c r="O140" i="18" s="1"/>
  <c r="L68" i="18"/>
  <c r="O68" i="18" s="1"/>
  <c r="L252" i="17"/>
  <c r="O252" i="17" s="1"/>
  <c r="M310" i="16"/>
  <c r="P310" i="16" s="1"/>
  <c r="P120" i="13"/>
  <c r="O383" i="1"/>
  <c r="K324" i="1"/>
  <c r="P68" i="11"/>
  <c r="L273" i="16"/>
  <c r="O273" i="16" s="1"/>
  <c r="L120" i="12"/>
  <c r="O120" i="12" s="1"/>
  <c r="N118" i="17"/>
  <c r="P118" i="17" s="1"/>
  <c r="M96" i="17"/>
  <c r="P96" i="17" s="1"/>
  <c r="M310" i="7"/>
  <c r="P310" i="7" s="1"/>
  <c r="N28" i="13"/>
  <c r="K200" i="1"/>
  <c r="K213" i="1"/>
  <c r="N11" i="13"/>
  <c r="N9" i="13" s="1"/>
  <c r="K429" i="1"/>
  <c r="K84" i="1"/>
  <c r="K87" i="1"/>
  <c r="P102" i="17"/>
  <c r="L96" i="13"/>
  <c r="O96" i="13" s="1"/>
  <c r="O120" i="17"/>
  <c r="P66" i="11"/>
  <c r="O254" i="9"/>
  <c r="L252" i="4"/>
  <c r="O252" i="4" s="1"/>
  <c r="O439" i="1"/>
  <c r="K419" i="1"/>
  <c r="K573" i="1"/>
  <c r="L120" i="8"/>
  <c r="O120" i="8" s="1"/>
  <c r="K498" i="1"/>
  <c r="K83" i="1"/>
  <c r="P43" i="2"/>
  <c r="M337" i="1"/>
  <c r="P337" i="1" s="1"/>
  <c r="L142" i="2"/>
  <c r="L140" i="2" s="1"/>
  <c r="O140" i="2" s="1"/>
  <c r="L312" i="13"/>
  <c r="O312" i="13" s="1"/>
  <c r="P292" i="7"/>
  <c r="M41" i="2"/>
  <c r="P41" i="2" s="1"/>
  <c r="K597" i="1"/>
  <c r="K249" i="1"/>
  <c r="L329" i="15"/>
  <c r="O329" i="15" s="1"/>
  <c r="M250" i="14"/>
  <c r="P250" i="14" s="1"/>
  <c r="L142" i="12"/>
  <c r="O142" i="12" s="1"/>
  <c r="M118" i="10"/>
  <c r="P118" i="10" s="1"/>
  <c r="O533" i="1"/>
  <c r="K595" i="1"/>
  <c r="O34" i="7"/>
  <c r="L68" i="8"/>
  <c r="L66" i="8" s="1"/>
  <c r="O66" i="8" s="1"/>
  <c r="L11" i="10"/>
  <c r="O11" i="10" s="1"/>
  <c r="P55" i="11"/>
  <c r="K474" i="1"/>
  <c r="O271" i="14"/>
  <c r="K117" i="1"/>
  <c r="L29" i="10"/>
  <c r="O29" i="10" s="1"/>
  <c r="O144" i="6"/>
  <c r="L252" i="14"/>
  <c r="L250" i="14" s="1"/>
  <c r="O250" i="14" s="1"/>
  <c r="P57" i="1"/>
  <c r="K340" i="1"/>
  <c r="L292" i="13"/>
  <c r="L290" i="13" s="1"/>
  <c r="O290" i="13" s="1"/>
  <c r="L222" i="5"/>
  <c r="O222" i="5" s="1"/>
  <c r="K473" i="1"/>
  <c r="P333" i="1"/>
  <c r="K376" i="1"/>
  <c r="K189" i="1"/>
  <c r="P98" i="1"/>
  <c r="M290" i="5"/>
  <c r="P290" i="5" s="1"/>
  <c r="P43" i="3"/>
  <c r="L252" i="2"/>
  <c r="L250" i="2" s="1"/>
  <c r="O250" i="2" s="1"/>
  <c r="L43" i="5"/>
  <c r="O43" i="5" s="1"/>
  <c r="O275" i="14"/>
  <c r="K591" i="1"/>
  <c r="P45" i="1"/>
  <c r="K289" i="1"/>
  <c r="O45" i="8"/>
  <c r="L14" i="7"/>
  <c r="O14" i="7" s="1"/>
  <c r="O352" i="1"/>
  <c r="M250" i="9"/>
  <c r="P250" i="9" s="1"/>
  <c r="O45" i="7"/>
  <c r="P222" i="17"/>
  <c r="K270" i="1"/>
  <c r="N29" i="6"/>
  <c r="N28" i="6" s="1"/>
  <c r="P271" i="12"/>
  <c r="P68" i="8"/>
  <c r="O34" i="16"/>
  <c r="O16" i="14"/>
  <c r="O34" i="9"/>
  <c r="K185" i="1"/>
  <c r="K449" i="1"/>
  <c r="K204" i="1"/>
  <c r="K216" i="1"/>
  <c r="K266" i="1"/>
  <c r="P144" i="1"/>
  <c r="K235" i="1"/>
  <c r="O380" i="1"/>
  <c r="K80" i="1"/>
  <c r="L222" i="14"/>
  <c r="O222" i="14" s="1"/>
  <c r="L68" i="7"/>
  <c r="L66" i="7" s="1"/>
  <c r="O66" i="7" s="1"/>
  <c r="M310" i="6"/>
  <c r="P310" i="6" s="1"/>
  <c r="P94" i="5"/>
  <c r="P220" i="8"/>
  <c r="O333" i="15"/>
  <c r="M118" i="14"/>
  <c r="P118" i="14" s="1"/>
  <c r="P53" i="15"/>
  <c r="P22" i="14"/>
  <c r="O122" i="6"/>
  <c r="P96" i="5"/>
  <c r="O32" i="18"/>
  <c r="O551" i="1"/>
  <c r="K164" i="1"/>
  <c r="K424" i="1"/>
  <c r="K285" i="1"/>
  <c r="P55" i="15"/>
  <c r="O273" i="14"/>
  <c r="M20" i="16"/>
  <c r="M18" i="16" s="1"/>
  <c r="O31" i="9"/>
  <c r="O26" i="14"/>
  <c r="L292" i="15"/>
  <c r="O292" i="15" s="1"/>
  <c r="L11" i="13"/>
  <c r="L9" i="13" s="1"/>
  <c r="L252" i="11"/>
  <c r="O252" i="11" s="1"/>
  <c r="L68" i="6"/>
  <c r="L66" i="6" s="1"/>
  <c r="O66" i="6" s="1"/>
  <c r="P43" i="13"/>
  <c r="L29" i="13"/>
  <c r="L28" i="13" s="1"/>
  <c r="L43" i="16"/>
  <c r="L41" i="16" s="1"/>
  <c r="O41" i="16" s="1"/>
  <c r="P142" i="9"/>
  <c r="K215" i="1"/>
  <c r="L55" i="16"/>
  <c r="O55" i="16" s="1"/>
  <c r="L43" i="17"/>
  <c r="L41" i="17" s="1"/>
  <c r="O41" i="17" s="1"/>
  <c r="M118" i="13"/>
  <c r="P118" i="13" s="1"/>
  <c r="O224" i="11"/>
  <c r="O144" i="13"/>
  <c r="O30" i="12"/>
  <c r="P43" i="5"/>
  <c r="K401" i="1"/>
  <c r="K368" i="1"/>
  <c r="L96" i="6"/>
  <c r="O96" i="6" s="1"/>
  <c r="O43" i="6"/>
  <c r="K628" i="1"/>
  <c r="K431" i="1"/>
  <c r="L222" i="8"/>
  <c r="L273" i="7"/>
  <c r="L271" i="7" s="1"/>
  <c r="O271" i="7" s="1"/>
  <c r="O224" i="7"/>
  <c r="L142" i="4"/>
  <c r="L140" i="4" s="1"/>
  <c r="O140" i="4" s="1"/>
  <c r="L142" i="3"/>
  <c r="O142" i="3" s="1"/>
  <c r="N11" i="8"/>
  <c r="N9" i="8" s="1"/>
  <c r="K451" i="1"/>
  <c r="O43" i="13"/>
  <c r="K575" i="1"/>
  <c r="K173" i="1"/>
  <c r="K417" i="1"/>
  <c r="O68" i="15"/>
  <c r="M310" i="17"/>
  <c r="P310" i="17" s="1"/>
  <c r="N66" i="15"/>
  <c r="P66" i="15" s="1"/>
  <c r="N20" i="4"/>
  <c r="N18" i="4" s="1"/>
  <c r="K109" i="1"/>
  <c r="O333" i="2"/>
  <c r="K466" i="1"/>
  <c r="K93" i="1"/>
  <c r="O435" i="1"/>
  <c r="L252" i="6"/>
  <c r="O252" i="6" s="1"/>
  <c r="P142" i="4"/>
  <c r="O406" i="1"/>
  <c r="L43" i="12"/>
  <c r="L41" i="12" s="1"/>
  <c r="O41" i="12" s="1"/>
  <c r="O404" i="1"/>
  <c r="K621" i="1"/>
  <c r="O354" i="1"/>
  <c r="L68" i="11"/>
  <c r="O68" i="11" s="1"/>
  <c r="O314" i="3"/>
  <c r="K219" i="1"/>
  <c r="O57" i="9"/>
  <c r="K589" i="1"/>
  <c r="P118" i="15"/>
  <c r="O120" i="11"/>
  <c r="L273" i="9"/>
  <c r="O273" i="9" s="1"/>
  <c r="N29" i="15"/>
  <c r="N28" i="15" s="1"/>
  <c r="L14" i="8"/>
  <c r="O14" i="8" s="1"/>
  <c r="K465" i="1"/>
  <c r="L292" i="10"/>
  <c r="O292" i="10" s="1"/>
  <c r="O53" i="9"/>
  <c r="N20" i="5"/>
  <c r="N18" i="5" s="1"/>
  <c r="O347" i="1"/>
  <c r="L96" i="18"/>
  <c r="L94" i="18" s="1"/>
  <c r="O94" i="18" s="1"/>
  <c r="M310" i="12"/>
  <c r="P310" i="12" s="1"/>
  <c r="K533" i="1"/>
  <c r="K422" i="1"/>
  <c r="K264" i="1"/>
  <c r="K86" i="1"/>
  <c r="P70" i="1"/>
  <c r="P122" i="1"/>
  <c r="K421" i="1"/>
  <c r="P254" i="1"/>
  <c r="O401" i="1"/>
  <c r="K632" i="1"/>
  <c r="L68" i="17"/>
  <c r="O68" i="17" s="1"/>
  <c r="K634" i="1"/>
  <c r="O43" i="3"/>
  <c r="L41" i="3"/>
  <c r="O41" i="3" s="1"/>
  <c r="L331" i="17"/>
  <c r="O331" i="17" s="1"/>
  <c r="L41" i="13"/>
  <c r="O41" i="13" s="1"/>
  <c r="P140" i="5"/>
  <c r="L292" i="3"/>
  <c r="L290" i="3" s="1"/>
  <c r="O290" i="3" s="1"/>
  <c r="O122" i="14"/>
  <c r="K341" i="1"/>
  <c r="K88" i="1"/>
  <c r="O98" i="7"/>
  <c r="P142" i="5"/>
  <c r="L68" i="10"/>
  <c r="O68" i="10" s="1"/>
  <c r="O30" i="11"/>
  <c r="P68" i="12"/>
  <c r="N28" i="8"/>
  <c r="N55" i="1"/>
  <c r="N53" i="1" s="1"/>
  <c r="P53" i="1" s="1"/>
  <c r="K630" i="1"/>
  <c r="O120" i="14"/>
  <c r="L55" i="13"/>
  <c r="L53" i="13" s="1"/>
  <c r="O53" i="13" s="1"/>
  <c r="O45" i="13"/>
  <c r="L55" i="11"/>
  <c r="L53" i="11" s="1"/>
  <c r="O53" i="11" s="1"/>
  <c r="K423" i="1"/>
  <c r="O30" i="16"/>
  <c r="O45" i="3"/>
  <c r="L24" i="1"/>
  <c r="O24" i="1" s="1"/>
  <c r="K629" i="1"/>
  <c r="P294" i="1"/>
  <c r="K265" i="1"/>
  <c r="M331" i="7"/>
  <c r="P331" i="7" s="1"/>
  <c r="P120" i="8"/>
  <c r="L222" i="4"/>
  <c r="L220" i="4" s="1"/>
  <c r="O220" i="4" s="1"/>
  <c r="P271" i="3"/>
  <c r="K432" i="1"/>
  <c r="K396" i="1"/>
  <c r="K186" i="1"/>
  <c r="P55" i="17"/>
  <c r="P22" i="12"/>
  <c r="P140" i="16"/>
  <c r="L331" i="13"/>
  <c r="O331" i="13" s="1"/>
  <c r="O294" i="9"/>
  <c r="N12" i="12"/>
  <c r="N10" i="12" s="1"/>
  <c r="M96" i="7"/>
  <c r="P96" i="7" s="1"/>
  <c r="K418" i="1"/>
  <c r="P55" i="14"/>
  <c r="O254" i="12"/>
  <c r="O34" i="15"/>
  <c r="O98" i="10"/>
  <c r="N41" i="5"/>
  <c r="N37" i="5" s="1"/>
  <c r="O30" i="13"/>
  <c r="O601" i="1"/>
  <c r="K132" i="1"/>
  <c r="K82" i="1"/>
  <c r="M22" i="1"/>
  <c r="M12" i="1" s="1"/>
  <c r="K133" i="1"/>
  <c r="L331" i="3"/>
  <c r="L329" i="3" s="1"/>
  <c r="N28" i="16"/>
  <c r="L120" i="13"/>
  <c r="O120" i="13" s="1"/>
  <c r="L312" i="17"/>
  <c r="O312" i="17" s="1"/>
  <c r="O70" i="15"/>
  <c r="L14" i="14"/>
  <c r="O14" i="14" s="1"/>
  <c r="O142" i="13"/>
  <c r="P53" i="10"/>
  <c r="O254" i="13"/>
  <c r="M290" i="6"/>
  <c r="P290" i="6" s="1"/>
  <c r="L292" i="7"/>
  <c r="O292" i="7" s="1"/>
  <c r="O331" i="2"/>
  <c r="O98" i="3"/>
  <c r="O31" i="2"/>
  <c r="O57" i="3"/>
  <c r="P271" i="18"/>
  <c r="M310" i="15"/>
  <c r="P310" i="15" s="1"/>
  <c r="K622" i="1"/>
  <c r="K633" i="1"/>
  <c r="L11" i="16"/>
  <c r="O11" i="16" s="1"/>
  <c r="L29" i="2"/>
  <c r="O29" i="2" s="1"/>
  <c r="K267" i="1"/>
  <c r="P220" i="18"/>
  <c r="N11" i="14"/>
  <c r="N9" i="14" s="1"/>
  <c r="P43" i="10"/>
  <c r="K623" i="1"/>
  <c r="K620" i="1"/>
  <c r="K564" i="1"/>
  <c r="P273" i="18"/>
  <c r="L29" i="16"/>
  <c r="O29" i="16" s="1"/>
  <c r="P142" i="13"/>
  <c r="O98" i="9"/>
  <c r="P55" i="10"/>
  <c r="K624" i="1"/>
  <c r="K416" i="1"/>
  <c r="P224" i="1"/>
  <c r="L222" i="9"/>
  <c r="L220" i="9" s="1"/>
  <c r="O220" i="9" s="1"/>
  <c r="P222" i="7"/>
  <c r="L331" i="4"/>
  <c r="O331" i="4" s="1"/>
  <c r="K625" i="1"/>
  <c r="O34" i="13"/>
  <c r="P331" i="11"/>
  <c r="P53" i="2"/>
  <c r="O26" i="15"/>
  <c r="O30" i="7"/>
  <c r="N30" i="18"/>
  <c r="O30" i="18" s="1"/>
  <c r="O333" i="16"/>
  <c r="N11" i="16"/>
  <c r="N9" i="16" s="1"/>
  <c r="P222" i="9"/>
  <c r="P331" i="4"/>
  <c r="K626" i="1"/>
  <c r="O568" i="1"/>
  <c r="N28" i="14"/>
  <c r="O34" i="5"/>
  <c r="K112" i="1"/>
  <c r="K306" i="1"/>
  <c r="P43" i="18"/>
  <c r="L13" i="13"/>
  <c r="O13" i="13" s="1"/>
  <c r="L55" i="8"/>
  <c r="O55" i="8" s="1"/>
  <c r="P220" i="9"/>
  <c r="P222" i="18"/>
  <c r="L14" i="3"/>
  <c r="O14" i="3" s="1"/>
  <c r="K370" i="1"/>
  <c r="O43" i="18"/>
  <c r="K85" i="1"/>
  <c r="K138" i="1"/>
  <c r="M140" i="9"/>
  <c r="P140" i="9" s="1"/>
  <c r="L142" i="9"/>
  <c r="O142" i="9" s="1"/>
  <c r="P222" i="8"/>
  <c r="P140" i="13"/>
  <c r="P43" i="15"/>
  <c r="L23" i="1"/>
  <c r="O23" i="1" s="1"/>
  <c r="K372" i="1"/>
  <c r="O566" i="1"/>
  <c r="N26" i="1"/>
  <c r="N16" i="1" s="1"/>
  <c r="K397" i="1"/>
  <c r="O148" i="1"/>
  <c r="K631" i="1"/>
  <c r="L13" i="8"/>
  <c r="O13" i="8" s="1"/>
  <c r="L292" i="4"/>
  <c r="O292" i="4" s="1"/>
  <c r="M250" i="16"/>
  <c r="P250" i="16" s="1"/>
  <c r="P22" i="16"/>
  <c r="K482" i="1"/>
  <c r="L22" i="13"/>
  <c r="L20" i="13" s="1"/>
  <c r="L18" i="13" s="1"/>
  <c r="P68" i="9"/>
  <c r="M26" i="5"/>
  <c r="P26" i="5" s="1"/>
  <c r="P148" i="1"/>
  <c r="K309" i="1"/>
  <c r="L68" i="16"/>
  <c r="O68" i="16" s="1"/>
  <c r="N28" i="11"/>
  <c r="L13" i="6"/>
  <c r="O13" i="6" s="1"/>
  <c r="L96" i="8"/>
  <c r="L94" i="8" s="1"/>
  <c r="O94" i="8" s="1"/>
  <c r="M331" i="5"/>
  <c r="P331" i="5" s="1"/>
  <c r="P222" i="2"/>
  <c r="N31" i="1"/>
  <c r="N29" i="1" s="1"/>
  <c r="L222" i="2"/>
  <c r="L220" i="2" s="1"/>
  <c r="O220" i="2" s="1"/>
  <c r="P273" i="10"/>
  <c r="O32" i="11"/>
  <c r="P271" i="10"/>
  <c r="L120" i="5"/>
  <c r="O120" i="5" s="1"/>
  <c r="K497" i="1"/>
  <c r="L96" i="5"/>
  <c r="O96" i="5" s="1"/>
  <c r="L273" i="5"/>
  <c r="O273" i="5" s="1"/>
  <c r="K455" i="1"/>
  <c r="O314" i="11"/>
  <c r="M220" i="17"/>
  <c r="P220" i="17" s="1"/>
  <c r="L250" i="15"/>
  <c r="O250" i="15" s="1"/>
  <c r="P252" i="12"/>
  <c r="P250" i="12"/>
  <c r="O74" i="1"/>
  <c r="M26" i="18"/>
  <c r="P26" i="18" s="1"/>
  <c r="L331" i="12"/>
  <c r="L329" i="12" s="1"/>
  <c r="O329" i="12" s="1"/>
  <c r="L68" i="12"/>
  <c r="O68" i="12" s="1"/>
  <c r="L310" i="9"/>
  <c r="O310" i="9" s="1"/>
  <c r="L13" i="9"/>
  <c r="O13" i="9" s="1"/>
  <c r="M118" i="4"/>
  <c r="P118" i="4" s="1"/>
  <c r="L120" i="2"/>
  <c r="O120" i="2" s="1"/>
  <c r="O314" i="15"/>
  <c r="L41" i="18"/>
  <c r="O41" i="18" s="1"/>
  <c r="P220" i="15"/>
  <c r="O553" i="1"/>
  <c r="K427" i="1"/>
  <c r="O597" i="1"/>
  <c r="M41" i="13"/>
  <c r="P41" i="13" s="1"/>
  <c r="O24" i="8"/>
  <c r="O250" i="18"/>
  <c r="P271" i="11"/>
  <c r="P140" i="10"/>
  <c r="M41" i="3"/>
  <c r="P41" i="3" s="1"/>
  <c r="O254" i="16"/>
  <c r="O314" i="16"/>
  <c r="O252" i="18"/>
  <c r="N11" i="17"/>
  <c r="N9" i="17" s="1"/>
  <c r="K375" i="1"/>
  <c r="M290" i="15"/>
  <c r="P290" i="15" s="1"/>
  <c r="N20" i="17"/>
  <c r="N18" i="17" s="1"/>
  <c r="O34" i="17"/>
  <c r="P222" i="11"/>
  <c r="P120" i="12"/>
  <c r="P22" i="10"/>
  <c r="O43" i="7"/>
  <c r="N28" i="10"/>
  <c r="N33" i="1"/>
  <c r="N13" i="1" s="1"/>
  <c r="L94" i="9"/>
  <c r="O94" i="9" s="1"/>
  <c r="O96" i="9"/>
  <c r="O312" i="15"/>
  <c r="L310" i="15"/>
  <c r="O310" i="15" s="1"/>
  <c r="M12" i="10"/>
  <c r="O32" i="9"/>
  <c r="L14" i="9"/>
  <c r="O14" i="9" s="1"/>
  <c r="P252" i="8"/>
  <c r="P140" i="12"/>
  <c r="N11" i="10"/>
  <c r="N9" i="10" s="1"/>
  <c r="P55" i="2"/>
  <c r="O32" i="8"/>
  <c r="O34" i="12"/>
  <c r="L31" i="1"/>
  <c r="L11" i="1" s="1"/>
  <c r="O11" i="1" s="1"/>
  <c r="L55" i="14"/>
  <c r="O55" i="14" s="1"/>
  <c r="O55" i="3"/>
  <c r="L292" i="2"/>
  <c r="O292" i="2" s="1"/>
  <c r="L96" i="16"/>
  <c r="L94" i="16" s="1"/>
  <c r="O94" i="16" s="1"/>
  <c r="L250" i="12"/>
  <c r="O250" i="12" s="1"/>
  <c r="P142" i="2"/>
  <c r="O34" i="8"/>
  <c r="M310" i="13"/>
  <c r="P310" i="13" s="1"/>
  <c r="M310" i="3"/>
  <c r="P310" i="3" s="1"/>
  <c r="O45" i="18"/>
  <c r="N12" i="8"/>
  <c r="N10" i="8" s="1"/>
  <c r="O32" i="7"/>
  <c r="L292" i="18"/>
  <c r="L290" i="18" s="1"/>
  <c r="M53" i="17"/>
  <c r="P53" i="17" s="1"/>
  <c r="L68" i="4"/>
  <c r="O68" i="4" s="1"/>
  <c r="L22" i="5"/>
  <c r="L20" i="5" s="1"/>
  <c r="L53" i="3"/>
  <c r="O34" i="3"/>
  <c r="O331" i="14"/>
  <c r="L329" i="14"/>
  <c r="O329" i="14" s="1"/>
  <c r="O273" i="10"/>
  <c r="L271" i="10"/>
  <c r="O271" i="10" s="1"/>
  <c r="O222" i="16"/>
  <c r="O333" i="14"/>
  <c r="M271" i="14"/>
  <c r="P271" i="14" s="1"/>
  <c r="O98" i="11"/>
  <c r="P273" i="8"/>
  <c r="O312" i="6"/>
  <c r="O53" i="18"/>
  <c r="O140" i="16"/>
  <c r="N37" i="14"/>
  <c r="O26" i="4"/>
  <c r="P273" i="12"/>
  <c r="L68" i="9"/>
  <c r="O70" i="9"/>
  <c r="N11" i="3"/>
  <c r="N9" i="3" s="1"/>
  <c r="N29" i="3"/>
  <c r="N28" i="3" s="1"/>
  <c r="L222" i="17"/>
  <c r="O222" i="17" s="1"/>
  <c r="M250" i="8"/>
  <c r="P250" i="8" s="1"/>
  <c r="O275" i="6"/>
  <c r="N53" i="3"/>
  <c r="P53" i="3" s="1"/>
  <c r="P142" i="16"/>
  <c r="P142" i="14"/>
  <c r="N22" i="1"/>
  <c r="O331" i="16"/>
  <c r="P142" i="12"/>
  <c r="L312" i="10"/>
  <c r="O312" i="10" s="1"/>
  <c r="M310" i="9"/>
  <c r="P310" i="9" s="1"/>
  <c r="P140" i="8"/>
  <c r="P331" i="8"/>
  <c r="N37" i="2"/>
  <c r="N11" i="4"/>
  <c r="N9" i="4" s="1"/>
  <c r="P142" i="8"/>
  <c r="P312" i="4"/>
  <c r="P273" i="3"/>
  <c r="P220" i="11"/>
  <c r="L22" i="12"/>
  <c r="O22" i="12" s="1"/>
  <c r="L252" i="7"/>
  <c r="L250" i="7" s="1"/>
  <c r="O250" i="7" s="1"/>
  <c r="L312" i="2"/>
  <c r="O312" i="2" s="1"/>
  <c r="O30" i="9"/>
  <c r="O16" i="8"/>
  <c r="O275" i="10"/>
  <c r="O30" i="17"/>
  <c r="M220" i="13"/>
  <c r="P220" i="13" s="1"/>
  <c r="P329" i="8"/>
  <c r="O599" i="1"/>
  <c r="K551" i="1"/>
  <c r="N11" i="18"/>
  <c r="N9" i="18" s="1"/>
  <c r="L96" i="17"/>
  <c r="O96" i="17" s="1"/>
  <c r="P331" i="16"/>
  <c r="P292" i="4"/>
  <c r="L22" i="11"/>
  <c r="L20" i="11" s="1"/>
  <c r="L18" i="11" s="1"/>
  <c r="N11" i="9"/>
  <c r="N9" i="9" s="1"/>
  <c r="N29" i="9"/>
  <c r="N28" i="9" s="1"/>
  <c r="M290" i="8"/>
  <c r="P290" i="8" s="1"/>
  <c r="N28" i="5"/>
  <c r="N12" i="5"/>
  <c r="N10" i="5" s="1"/>
  <c r="N8" i="5" s="1"/>
  <c r="K420" i="1"/>
  <c r="O312" i="8"/>
  <c r="L310" i="8"/>
  <c r="O310" i="8" s="1"/>
  <c r="O252" i="8"/>
  <c r="L250" i="8"/>
  <c r="O250" i="8" s="1"/>
  <c r="O222" i="7"/>
  <c r="L220" i="7"/>
  <c r="O220" i="7" s="1"/>
  <c r="L55" i="10"/>
  <c r="O57" i="10"/>
  <c r="N53" i="7"/>
  <c r="P53" i="7" s="1"/>
  <c r="P55" i="7"/>
  <c r="L55" i="15"/>
  <c r="O57" i="15"/>
  <c r="L26" i="1"/>
  <c r="N312" i="1"/>
  <c r="P43" i="9"/>
  <c r="O314" i="8"/>
  <c r="L22" i="7"/>
  <c r="L20" i="7" s="1"/>
  <c r="O254" i="8"/>
  <c r="L292" i="5"/>
  <c r="N12" i="15"/>
  <c r="N10" i="15" s="1"/>
  <c r="N8" i="15" s="1"/>
  <c r="N20" i="15"/>
  <c r="N18" i="15" s="1"/>
  <c r="L120" i="10"/>
  <c r="O122" i="10"/>
  <c r="P22" i="8"/>
  <c r="M12" i="8"/>
  <c r="L29" i="8"/>
  <c r="L11" i="8"/>
  <c r="O11" i="8" s="1"/>
  <c r="O30" i="5"/>
  <c r="N292" i="1"/>
  <c r="L29" i="18"/>
  <c r="O31" i="18"/>
  <c r="O144" i="14"/>
  <c r="L142" i="14"/>
  <c r="L29" i="14"/>
  <c r="O31" i="14"/>
  <c r="L29" i="11"/>
  <c r="O31" i="11"/>
  <c r="L275" i="1"/>
  <c r="O275" i="1" s="1"/>
  <c r="O333" i="7"/>
  <c r="L11" i="14"/>
  <c r="O11" i="14" s="1"/>
  <c r="O34" i="11"/>
  <c r="O57" i="18"/>
  <c r="P329" i="17"/>
  <c r="P120" i="16"/>
  <c r="O329" i="16"/>
  <c r="P140" i="17"/>
  <c r="O142" i="16"/>
  <c r="L66" i="15"/>
  <c r="N37" i="16"/>
  <c r="P271" i="13"/>
  <c r="L11" i="11"/>
  <c r="L9" i="11" s="1"/>
  <c r="O32" i="12"/>
  <c r="L28" i="9"/>
  <c r="L41" i="7"/>
  <c r="O41" i="7" s="1"/>
  <c r="M118" i="8"/>
  <c r="P118" i="8" s="1"/>
  <c r="L142" i="8"/>
  <c r="O26" i="8"/>
  <c r="L16" i="4"/>
  <c r="O16" i="4" s="1"/>
  <c r="L271" i="3"/>
  <c r="O271" i="3" s="1"/>
  <c r="P53" i="14"/>
  <c r="N29" i="7"/>
  <c r="N28" i="7" s="1"/>
  <c r="N11" i="7"/>
  <c r="N9" i="7" s="1"/>
  <c r="O31" i="7"/>
  <c r="L11" i="7"/>
  <c r="L29" i="7"/>
  <c r="L252" i="3"/>
  <c r="O254" i="3"/>
  <c r="L254" i="1"/>
  <c r="O254" i="1" s="1"/>
  <c r="K560" i="1"/>
  <c r="O70" i="3"/>
  <c r="L68" i="3"/>
  <c r="O32" i="5"/>
  <c r="O144" i="10"/>
  <c r="L142" i="10"/>
  <c r="L16" i="15"/>
  <c r="O16" i="15" s="1"/>
  <c r="O275" i="4"/>
  <c r="P273" i="17"/>
  <c r="M271" i="17"/>
  <c r="P271" i="17" s="1"/>
  <c r="O45" i="15"/>
  <c r="L22" i="15"/>
  <c r="M290" i="13"/>
  <c r="P290" i="13" s="1"/>
  <c r="N37" i="10"/>
  <c r="P118" i="16"/>
  <c r="O275" i="17"/>
  <c r="L250" i="13"/>
  <c r="O250" i="13" s="1"/>
  <c r="O271" i="13"/>
  <c r="L312" i="14"/>
  <c r="O312" i="14" s="1"/>
  <c r="L142" i="11"/>
  <c r="O142" i="11" s="1"/>
  <c r="O312" i="11"/>
  <c r="M329" i="4"/>
  <c r="P329" i="4" s="1"/>
  <c r="N20" i="8"/>
  <c r="N18" i="8" s="1"/>
  <c r="M94" i="4"/>
  <c r="P94" i="4" s="1"/>
  <c r="M66" i="2"/>
  <c r="P66" i="2" s="1"/>
  <c r="O70" i="2"/>
  <c r="O32" i="15"/>
  <c r="L30" i="15"/>
  <c r="O32" i="14"/>
  <c r="L30" i="14"/>
  <c r="O30" i="14" s="1"/>
  <c r="N290" i="4"/>
  <c r="O32" i="16"/>
  <c r="L120" i="15"/>
  <c r="L118" i="15" s="1"/>
  <c r="O118" i="15" s="1"/>
  <c r="M329" i="11"/>
  <c r="P329" i="11" s="1"/>
  <c r="O23" i="15"/>
  <c r="L13" i="15"/>
  <c r="O13" i="15" s="1"/>
  <c r="N53" i="12"/>
  <c r="P53" i="12" s="1"/>
  <c r="L11" i="18"/>
  <c r="L9" i="18" s="1"/>
  <c r="N28" i="17"/>
  <c r="L14" i="15"/>
  <c r="O14" i="15" s="1"/>
  <c r="L140" i="13"/>
  <c r="O140" i="13" s="1"/>
  <c r="P53" i="11"/>
  <c r="L94" i="11"/>
  <c r="O94" i="11" s="1"/>
  <c r="P142" i="10"/>
  <c r="N37" i="9"/>
  <c r="L314" i="1"/>
  <c r="O314" i="1" s="1"/>
  <c r="O45" i="14"/>
  <c r="L43" i="14"/>
  <c r="O34" i="14"/>
  <c r="O224" i="12"/>
  <c r="L222" i="12"/>
  <c r="O45" i="11"/>
  <c r="L43" i="11"/>
  <c r="L41" i="11" s="1"/>
  <c r="O41" i="11" s="1"/>
  <c r="L30" i="10"/>
  <c r="O30" i="10" s="1"/>
  <c r="O32" i="10"/>
  <c r="L144" i="1"/>
  <c r="O144" i="1" s="1"/>
  <c r="L22" i="3"/>
  <c r="L16" i="13"/>
  <c r="O16" i="13" s="1"/>
  <c r="O26" i="13"/>
  <c r="O254" i="10"/>
  <c r="L252" i="10"/>
  <c r="M118" i="18"/>
  <c r="P118" i="18" s="1"/>
  <c r="P329" i="16"/>
  <c r="L14" i="17"/>
  <c r="O14" i="17" s="1"/>
  <c r="L22" i="17"/>
  <c r="L12" i="17" s="1"/>
  <c r="O144" i="16"/>
  <c r="M290" i="14"/>
  <c r="P290" i="14" s="1"/>
  <c r="P220" i="14"/>
  <c r="L43" i="15"/>
  <c r="M140" i="14"/>
  <c r="P140" i="14" s="1"/>
  <c r="L273" i="8"/>
  <c r="O273" i="8" s="1"/>
  <c r="P140" i="4"/>
  <c r="P310" i="4"/>
  <c r="L142" i="15"/>
  <c r="O144" i="15"/>
  <c r="O294" i="8"/>
  <c r="L292" i="8"/>
  <c r="O26" i="9"/>
  <c r="L16" i="9"/>
  <c r="O16" i="9" s="1"/>
  <c r="O32" i="13"/>
  <c r="N37" i="13"/>
  <c r="P53" i="13"/>
  <c r="P26" i="12"/>
  <c r="M16" i="12"/>
  <c r="P16" i="12" s="1"/>
  <c r="M20" i="12"/>
  <c r="P43" i="11"/>
  <c r="M41" i="11"/>
  <c r="M16" i="15"/>
  <c r="P16" i="15" s="1"/>
  <c r="P26" i="15"/>
  <c r="O24" i="18"/>
  <c r="L14" i="18"/>
  <c r="O14" i="18" s="1"/>
  <c r="O333" i="18"/>
  <c r="L331" i="18"/>
  <c r="L271" i="17"/>
  <c r="O271" i="17" s="1"/>
  <c r="O55" i="18"/>
  <c r="P43" i="17"/>
  <c r="M41" i="17"/>
  <c r="P331" i="17"/>
  <c r="O122" i="16"/>
  <c r="L120" i="16"/>
  <c r="P271" i="15"/>
  <c r="L118" i="17"/>
  <c r="L250" i="16"/>
  <c r="O250" i="16" s="1"/>
  <c r="O252" i="16"/>
  <c r="O24" i="16"/>
  <c r="L14" i="16"/>
  <c r="O14" i="16" s="1"/>
  <c r="P120" i="15"/>
  <c r="M220" i="12"/>
  <c r="P220" i="12" s="1"/>
  <c r="P222" i="12"/>
  <c r="L29" i="12"/>
  <c r="L11" i="12"/>
  <c r="O31" i="12"/>
  <c r="O23" i="12"/>
  <c r="L13" i="12"/>
  <c r="O13" i="12" s="1"/>
  <c r="O19" i="12"/>
  <c r="O96" i="10"/>
  <c r="L94" i="10"/>
  <c r="O94" i="10" s="1"/>
  <c r="M26" i="9"/>
  <c r="M20" i="9" s="1"/>
  <c r="P337" i="9"/>
  <c r="O26" i="10"/>
  <c r="L16" i="10"/>
  <c r="O16" i="10" s="1"/>
  <c r="P22" i="11"/>
  <c r="M12" i="11"/>
  <c r="O122" i="9"/>
  <c r="L120" i="9"/>
  <c r="L290" i="9"/>
  <c r="O290" i="9" s="1"/>
  <c r="O292" i="9"/>
  <c r="L331" i="8"/>
  <c r="O333" i="8"/>
  <c r="L333" i="1"/>
  <c r="O333" i="1" s="1"/>
  <c r="P252" i="7"/>
  <c r="M250" i="7"/>
  <c r="P250" i="7" s="1"/>
  <c r="P222" i="6"/>
  <c r="N220" i="6"/>
  <c r="M9" i="9"/>
  <c r="P96" i="9"/>
  <c r="M94" i="9"/>
  <c r="P94" i="9" s="1"/>
  <c r="L22" i="8"/>
  <c r="N20" i="6"/>
  <c r="N18" i="6" s="1"/>
  <c r="N12" i="6"/>
  <c r="N10" i="6" s="1"/>
  <c r="N8" i="6" s="1"/>
  <c r="P68" i="6"/>
  <c r="M66" i="6"/>
  <c r="P66" i="6" s="1"/>
  <c r="P273" i="7"/>
  <c r="N329" i="3"/>
  <c r="N329" i="1" s="1"/>
  <c r="N331" i="1"/>
  <c r="M9" i="2"/>
  <c r="P11" i="2"/>
  <c r="L29" i="5"/>
  <c r="O31" i="5"/>
  <c r="M20" i="4"/>
  <c r="P22" i="4"/>
  <c r="M12" i="4"/>
  <c r="N16" i="3"/>
  <c r="O16" i="3" s="1"/>
  <c r="O26" i="3"/>
  <c r="O19" i="3"/>
  <c r="N34" i="1"/>
  <c r="N14" i="1" s="1"/>
  <c r="O57" i="2"/>
  <c r="L55" i="2"/>
  <c r="L22" i="2"/>
  <c r="L57" i="1"/>
  <c r="O536" i="1"/>
  <c r="L33" i="1"/>
  <c r="N29" i="2"/>
  <c r="N11" i="2"/>
  <c r="N9" i="2" s="1"/>
  <c r="P250" i="2"/>
  <c r="O535" i="1"/>
  <c r="L32" i="1"/>
  <c r="O34" i="2"/>
  <c r="N30" i="2"/>
  <c r="O30" i="2" s="1"/>
  <c r="O32" i="2"/>
  <c r="I367" i="1"/>
  <c r="K367" i="1" s="1"/>
  <c r="P222" i="16"/>
  <c r="M220" i="16"/>
  <c r="P220" i="16" s="1"/>
  <c r="N12" i="13"/>
  <c r="N10" i="13" s="1"/>
  <c r="N20" i="13"/>
  <c r="N18" i="13" s="1"/>
  <c r="M94" i="6"/>
  <c r="P94" i="6" s="1"/>
  <c r="P96" i="6"/>
  <c r="O23" i="3"/>
  <c r="L13" i="3"/>
  <c r="O13" i="3" s="1"/>
  <c r="O23" i="18"/>
  <c r="L13" i="18"/>
  <c r="O13" i="18" s="1"/>
  <c r="O294" i="16"/>
  <c r="L292" i="16"/>
  <c r="L294" i="1"/>
  <c r="O294" i="1" s="1"/>
  <c r="M20" i="17"/>
  <c r="M12" i="17"/>
  <c r="P22" i="17"/>
  <c r="P292" i="17"/>
  <c r="M290" i="17"/>
  <c r="P290" i="17" s="1"/>
  <c r="P273" i="15"/>
  <c r="P26" i="16"/>
  <c r="M16" i="16"/>
  <c r="P16" i="16" s="1"/>
  <c r="O273" i="15"/>
  <c r="L271" i="15"/>
  <c r="O271" i="15" s="1"/>
  <c r="P29" i="15"/>
  <c r="M28" i="15"/>
  <c r="P28" i="15" s="1"/>
  <c r="O312" i="16"/>
  <c r="L310" i="16"/>
  <c r="O310" i="16" s="1"/>
  <c r="L9" i="15"/>
  <c r="O11" i="15"/>
  <c r="P273" i="13"/>
  <c r="P55" i="13"/>
  <c r="L16" i="12"/>
  <c r="O16" i="12" s="1"/>
  <c r="O26" i="12"/>
  <c r="O222" i="11"/>
  <c r="L220" i="11"/>
  <c r="O220" i="11" s="1"/>
  <c r="O24" i="12"/>
  <c r="L14" i="12"/>
  <c r="O14" i="12" s="1"/>
  <c r="P331" i="12"/>
  <c r="M329" i="12"/>
  <c r="P329" i="12" s="1"/>
  <c r="P273" i="11"/>
  <c r="P142" i="11"/>
  <c r="M140" i="11"/>
  <c r="P140" i="11" s="1"/>
  <c r="L250" i="9"/>
  <c r="O250" i="9" s="1"/>
  <c r="M26" i="8"/>
  <c r="P49" i="8"/>
  <c r="M49" i="1"/>
  <c r="O57" i="6"/>
  <c r="L55" i="6"/>
  <c r="L22" i="6"/>
  <c r="M66" i="8"/>
  <c r="P66" i="8" s="1"/>
  <c r="L94" i="7"/>
  <c r="O94" i="7" s="1"/>
  <c r="O96" i="7"/>
  <c r="O31" i="6"/>
  <c r="L11" i="6"/>
  <c r="L29" i="6"/>
  <c r="O142" i="6"/>
  <c r="L140" i="6"/>
  <c r="P26" i="6"/>
  <c r="M16" i="6"/>
  <c r="P16" i="6" s="1"/>
  <c r="N20" i="7"/>
  <c r="N18" i="7" s="1"/>
  <c r="N12" i="7"/>
  <c r="N10" i="7" s="1"/>
  <c r="P252" i="3"/>
  <c r="M250" i="3"/>
  <c r="P250" i="3" s="1"/>
  <c r="M252" i="1"/>
  <c r="P273" i="5"/>
  <c r="P222" i="4"/>
  <c r="M220" i="4"/>
  <c r="P220" i="4" s="1"/>
  <c r="M222" i="1"/>
  <c r="L312" i="5"/>
  <c r="O314" i="5"/>
  <c r="P22" i="3"/>
  <c r="M12" i="3"/>
  <c r="P11" i="10"/>
  <c r="M9" i="10"/>
  <c r="M26" i="10"/>
  <c r="M68" i="10"/>
  <c r="P74" i="10"/>
  <c r="P43" i="7"/>
  <c r="M41" i="7"/>
  <c r="P118" i="2"/>
  <c r="P55" i="18"/>
  <c r="M53" i="18"/>
  <c r="P53" i="18" s="1"/>
  <c r="N310" i="18"/>
  <c r="P142" i="18"/>
  <c r="M140" i="18"/>
  <c r="P140" i="18" s="1"/>
  <c r="M331" i="18"/>
  <c r="O19" i="18"/>
  <c r="O220" i="16"/>
  <c r="P11" i="17"/>
  <c r="M9" i="17"/>
  <c r="M53" i="16"/>
  <c r="P53" i="16" s="1"/>
  <c r="N12" i="17"/>
  <c r="N10" i="17" s="1"/>
  <c r="M9" i="16"/>
  <c r="P142" i="15"/>
  <c r="M140" i="15"/>
  <c r="P140" i="15" s="1"/>
  <c r="P252" i="15"/>
  <c r="M250" i="15"/>
  <c r="P250" i="15" s="1"/>
  <c r="M28" i="14"/>
  <c r="P28" i="14" s="1"/>
  <c r="P29" i="14"/>
  <c r="N12" i="14"/>
  <c r="N10" i="14" s="1"/>
  <c r="N20" i="14"/>
  <c r="N18" i="14" s="1"/>
  <c r="P252" i="13"/>
  <c r="M250" i="13"/>
  <c r="P250" i="13" s="1"/>
  <c r="O224" i="13"/>
  <c r="L222" i="13"/>
  <c r="L224" i="1"/>
  <c r="O224" i="1" s="1"/>
  <c r="P96" i="13"/>
  <c r="M94" i="13"/>
  <c r="P94" i="13" s="1"/>
  <c r="M66" i="12"/>
  <c r="P66" i="12" s="1"/>
  <c r="P9" i="11"/>
  <c r="N20" i="12"/>
  <c r="N18" i="12" s="1"/>
  <c r="P252" i="11"/>
  <c r="M250" i="11"/>
  <c r="P250" i="11" s="1"/>
  <c r="O273" i="11"/>
  <c r="N11" i="11"/>
  <c r="N9" i="11" s="1"/>
  <c r="P19" i="10"/>
  <c r="M96" i="8"/>
  <c r="L22" i="9"/>
  <c r="M271" i="8"/>
  <c r="P271" i="8" s="1"/>
  <c r="O26" i="7"/>
  <c r="L16" i="7"/>
  <c r="O16" i="7" s="1"/>
  <c r="P331" i="6"/>
  <c r="M329" i="6"/>
  <c r="P329" i="6" s="1"/>
  <c r="O331" i="7"/>
  <c r="N271" i="4"/>
  <c r="N271" i="1" s="1"/>
  <c r="N273" i="1"/>
  <c r="N250" i="6"/>
  <c r="N252" i="1"/>
  <c r="P271" i="5"/>
  <c r="O23" i="5"/>
  <c r="L13" i="5"/>
  <c r="O13" i="5" s="1"/>
  <c r="P102" i="3"/>
  <c r="M26" i="3"/>
  <c r="M102" i="1"/>
  <c r="P102" i="1" s="1"/>
  <c r="N30" i="4"/>
  <c r="N28" i="4" s="1"/>
  <c r="N12" i="4"/>
  <c r="N10" i="4" s="1"/>
  <c r="N96" i="1"/>
  <c r="M96" i="3"/>
  <c r="L29" i="4"/>
  <c r="L11" i="4"/>
  <c r="O31" i="4"/>
  <c r="P9" i="3"/>
  <c r="M312" i="1"/>
  <c r="P312" i="2"/>
  <c r="M310" i="2"/>
  <c r="O19" i="2"/>
  <c r="K613" i="1"/>
  <c r="K618" i="1"/>
  <c r="K615" i="1"/>
  <c r="K612" i="1"/>
  <c r="K614" i="1"/>
  <c r="K619" i="1"/>
  <c r="K611" i="1"/>
  <c r="K616" i="1"/>
  <c r="K617" i="1"/>
  <c r="P140" i="2"/>
  <c r="O57" i="17"/>
  <c r="L55" i="17"/>
  <c r="P9" i="18"/>
  <c r="O26" i="18"/>
  <c r="L16" i="18"/>
  <c r="O16" i="18" s="1"/>
  <c r="P312" i="18"/>
  <c r="N12" i="18"/>
  <c r="N10" i="18" s="1"/>
  <c r="N20" i="18"/>
  <c r="N18" i="18" s="1"/>
  <c r="P26" i="17"/>
  <c r="M16" i="17"/>
  <c r="P16" i="17" s="1"/>
  <c r="N20" i="16"/>
  <c r="N18" i="16" s="1"/>
  <c r="N12" i="16"/>
  <c r="N10" i="16" s="1"/>
  <c r="O26" i="17"/>
  <c r="L16" i="17"/>
  <c r="O16" i="17" s="1"/>
  <c r="M66" i="16"/>
  <c r="P66" i="16" s="1"/>
  <c r="O19" i="16"/>
  <c r="O23" i="14"/>
  <c r="L13" i="14"/>
  <c r="O13" i="14" s="1"/>
  <c r="L14" i="13"/>
  <c r="O14" i="13" s="1"/>
  <c r="O24" i="13"/>
  <c r="O273" i="13"/>
  <c r="O333" i="11"/>
  <c r="L331" i="11"/>
  <c r="O273" i="12"/>
  <c r="L271" i="12"/>
  <c r="O271" i="12" s="1"/>
  <c r="O271" i="11"/>
  <c r="O24" i="10"/>
  <c r="L14" i="10"/>
  <c r="P41" i="10"/>
  <c r="N12" i="10"/>
  <c r="N10" i="10" s="1"/>
  <c r="N20" i="10"/>
  <c r="N18" i="10" s="1"/>
  <c r="L13" i="10"/>
  <c r="O13" i="10" s="1"/>
  <c r="P55" i="8"/>
  <c r="M53" i="8"/>
  <c r="P53" i="8" s="1"/>
  <c r="O329" i="7"/>
  <c r="P9" i="6"/>
  <c r="M43" i="8"/>
  <c r="O120" i="6"/>
  <c r="L118" i="6"/>
  <c r="O118" i="6" s="1"/>
  <c r="P120" i="6"/>
  <c r="M118" i="6"/>
  <c r="P118" i="6" s="1"/>
  <c r="L14" i="6"/>
  <c r="O14" i="6" s="1"/>
  <c r="P68" i="4"/>
  <c r="N66" i="4"/>
  <c r="N140" i="6"/>
  <c r="N142" i="1"/>
  <c r="M271" i="2"/>
  <c r="P273" i="2"/>
  <c r="M273" i="1"/>
  <c r="L41" i="4"/>
  <c r="O43" i="4"/>
  <c r="O57" i="5"/>
  <c r="L55" i="5"/>
  <c r="O23" i="2"/>
  <c r="L13" i="2"/>
  <c r="O13" i="2" s="1"/>
  <c r="P220" i="2"/>
  <c r="O329" i="2"/>
  <c r="L9" i="2"/>
  <c r="O11" i="2"/>
  <c r="P329" i="2"/>
  <c r="O96" i="3"/>
  <c r="L41" i="8"/>
  <c r="O43" i="8"/>
  <c r="P19" i="4"/>
  <c r="M66" i="18"/>
  <c r="P66" i="18" s="1"/>
  <c r="O224" i="18"/>
  <c r="L222" i="18"/>
  <c r="P252" i="17"/>
  <c r="N250" i="17"/>
  <c r="M9" i="15"/>
  <c r="P11" i="15"/>
  <c r="M331" i="14"/>
  <c r="P22" i="15"/>
  <c r="M12" i="15"/>
  <c r="M20" i="15"/>
  <c r="L68" i="14"/>
  <c r="O70" i="14"/>
  <c r="L70" i="1"/>
  <c r="O70" i="1" s="1"/>
  <c r="P41" i="14"/>
  <c r="M66" i="14"/>
  <c r="P66" i="14" s="1"/>
  <c r="P22" i="13"/>
  <c r="M12" i="13"/>
  <c r="O19" i="13"/>
  <c r="O23" i="11"/>
  <c r="L13" i="11"/>
  <c r="O13" i="11" s="1"/>
  <c r="O24" i="11"/>
  <c r="L14" i="11"/>
  <c r="O14" i="11" s="1"/>
  <c r="O26" i="11"/>
  <c r="L16" i="11"/>
  <c r="O16" i="11" s="1"/>
  <c r="P292" i="10"/>
  <c r="M292" i="1"/>
  <c r="O45" i="10"/>
  <c r="L43" i="10"/>
  <c r="L22" i="10"/>
  <c r="L45" i="1"/>
  <c r="O34" i="10"/>
  <c r="N14" i="10"/>
  <c r="O333" i="10"/>
  <c r="L331" i="10"/>
  <c r="M329" i="9"/>
  <c r="P329" i="9" s="1"/>
  <c r="P331" i="9"/>
  <c r="O55" i="9"/>
  <c r="M250" i="6"/>
  <c r="P252" i="6"/>
  <c r="O19" i="9"/>
  <c r="M220" i="7"/>
  <c r="P220" i="7" s="1"/>
  <c r="N37" i="8"/>
  <c r="L9" i="5"/>
  <c r="O11" i="5"/>
  <c r="M41" i="4"/>
  <c r="P43" i="4"/>
  <c r="P74" i="7"/>
  <c r="M68" i="7"/>
  <c r="M74" i="1"/>
  <c r="P74" i="1" s="1"/>
  <c r="P55" i="5"/>
  <c r="M53" i="5"/>
  <c r="P53" i="5" s="1"/>
  <c r="O23" i="7"/>
  <c r="L13" i="7"/>
  <c r="O13" i="7" s="1"/>
  <c r="M20" i="6"/>
  <c r="P22" i="6"/>
  <c r="M12" i="6"/>
  <c r="O331" i="5"/>
  <c r="L329" i="5"/>
  <c r="O329" i="5" s="1"/>
  <c r="P331" i="3"/>
  <c r="P120" i="2"/>
  <c r="M120" i="1"/>
  <c r="O24" i="4"/>
  <c r="L14" i="4"/>
  <c r="O14" i="4" s="1"/>
  <c r="O26" i="5"/>
  <c r="L16" i="5"/>
  <c r="O16" i="5" s="1"/>
  <c r="O98" i="2"/>
  <c r="L96" i="2"/>
  <c r="L98" i="1"/>
  <c r="O98" i="1" s="1"/>
  <c r="P96" i="18"/>
  <c r="M94" i="18"/>
  <c r="P94" i="18" s="1"/>
  <c r="P43" i="16"/>
  <c r="M41" i="16"/>
  <c r="P19" i="2"/>
  <c r="P252" i="18"/>
  <c r="M250" i="18"/>
  <c r="P250" i="18" s="1"/>
  <c r="P22" i="18"/>
  <c r="M12" i="18"/>
  <c r="L16" i="16"/>
  <c r="O16" i="16" s="1"/>
  <c r="O26" i="16"/>
  <c r="O23" i="17"/>
  <c r="L13" i="17"/>
  <c r="O13" i="17" s="1"/>
  <c r="M290" i="16"/>
  <c r="P290" i="16" s="1"/>
  <c r="P292" i="16"/>
  <c r="M331" i="15"/>
  <c r="P337" i="15"/>
  <c r="P19" i="15"/>
  <c r="M26" i="14"/>
  <c r="P96" i="15"/>
  <c r="M94" i="15"/>
  <c r="P94" i="15" s="1"/>
  <c r="L22" i="14"/>
  <c r="M26" i="11"/>
  <c r="P49" i="11"/>
  <c r="M41" i="12"/>
  <c r="P43" i="12"/>
  <c r="P9" i="13"/>
  <c r="M329" i="10"/>
  <c r="P329" i="10" s="1"/>
  <c r="M140" i="6"/>
  <c r="P142" i="6"/>
  <c r="L53" i="7"/>
  <c r="M28" i="9"/>
  <c r="P28" i="9" s="1"/>
  <c r="P312" i="8"/>
  <c r="M310" i="8"/>
  <c r="P310" i="8" s="1"/>
  <c r="N20" i="9"/>
  <c r="N18" i="9" s="1"/>
  <c r="N12" i="9"/>
  <c r="N10" i="9" s="1"/>
  <c r="O26" i="6"/>
  <c r="L16" i="6"/>
  <c r="O16" i="6" s="1"/>
  <c r="P273" i="6"/>
  <c r="M271" i="6"/>
  <c r="P271" i="6" s="1"/>
  <c r="M26" i="7"/>
  <c r="P22" i="5"/>
  <c r="M12" i="5"/>
  <c r="L140" i="5"/>
  <c r="O140" i="5" s="1"/>
  <c r="O142" i="5"/>
  <c r="O122" i="7"/>
  <c r="L120" i="7"/>
  <c r="L122" i="1"/>
  <c r="O122" i="1" s="1"/>
  <c r="M53" i="6"/>
  <c r="P55" i="6"/>
  <c r="P94" i="2"/>
  <c r="L312" i="4"/>
  <c r="O314" i="4"/>
  <c r="L22" i="4"/>
  <c r="P26" i="4"/>
  <c r="M16" i="4"/>
  <c r="P16" i="4" s="1"/>
  <c r="N12" i="2"/>
  <c r="N10" i="2" s="1"/>
  <c r="N20" i="2"/>
  <c r="N18" i="2" s="1"/>
  <c r="N220" i="3"/>
  <c r="P222" i="3"/>
  <c r="N222" i="1"/>
  <c r="O312" i="3"/>
  <c r="L310" i="3"/>
  <c r="O310" i="3" s="1"/>
  <c r="O42" i="1"/>
  <c r="L220" i="3"/>
  <c r="O222" i="3"/>
  <c r="N94" i="3"/>
  <c r="N94" i="1" s="1"/>
  <c r="L34" i="1"/>
  <c r="O385" i="1"/>
  <c r="L66" i="2"/>
  <c r="O68" i="2"/>
  <c r="N32" i="1"/>
  <c r="P9" i="1"/>
  <c r="P41" i="18"/>
  <c r="O19" i="5"/>
  <c r="M118" i="5"/>
  <c r="P118" i="5" s="1"/>
  <c r="P120" i="5"/>
  <c r="P222" i="5"/>
  <c r="M220" i="5"/>
  <c r="P220" i="5" s="1"/>
  <c r="O34" i="18"/>
  <c r="O32" i="17"/>
  <c r="L22" i="18"/>
  <c r="L118" i="18"/>
  <c r="O118" i="18" s="1"/>
  <c r="O120" i="18"/>
  <c r="O23" i="16"/>
  <c r="L13" i="16"/>
  <c r="O13" i="16" s="1"/>
  <c r="L22" i="16"/>
  <c r="M329" i="13"/>
  <c r="P329" i="13" s="1"/>
  <c r="P331" i="13"/>
  <c r="P41" i="15"/>
  <c r="P337" i="13"/>
  <c r="M26" i="13"/>
  <c r="O19" i="14"/>
  <c r="P96" i="14"/>
  <c r="M94" i="14"/>
  <c r="P94" i="14" s="1"/>
  <c r="P102" i="12"/>
  <c r="M96" i="12"/>
  <c r="O19" i="11"/>
  <c r="P120" i="11"/>
  <c r="N118" i="11"/>
  <c r="N37" i="11" s="1"/>
  <c r="N120" i="1"/>
  <c r="O98" i="12"/>
  <c r="L96" i="12"/>
  <c r="N12" i="11"/>
  <c r="N10" i="11" s="1"/>
  <c r="N20" i="11"/>
  <c r="N18" i="11" s="1"/>
  <c r="P9" i="12"/>
  <c r="P55" i="9"/>
  <c r="M53" i="9"/>
  <c r="L329" i="9"/>
  <c r="O329" i="9" s="1"/>
  <c r="O331" i="9"/>
  <c r="O15" i="8"/>
  <c r="P22" i="9"/>
  <c r="M12" i="9"/>
  <c r="M28" i="7"/>
  <c r="P28" i="7" s="1"/>
  <c r="P30" i="7"/>
  <c r="O32" i="6"/>
  <c r="L30" i="6"/>
  <c r="O30" i="6" s="1"/>
  <c r="N41" i="6"/>
  <c r="O41" i="6" s="1"/>
  <c r="P43" i="6"/>
  <c r="O273" i="6"/>
  <c r="L271" i="6"/>
  <c r="O271" i="6" s="1"/>
  <c r="P68" i="5"/>
  <c r="P22" i="7"/>
  <c r="O23" i="4"/>
  <c r="L13" i="4"/>
  <c r="O13" i="4" s="1"/>
  <c r="O29" i="3"/>
  <c r="M20" i="2"/>
  <c r="P22" i="2"/>
  <c r="M12" i="2"/>
  <c r="O273" i="4"/>
  <c r="M9" i="4"/>
  <c r="P11" i="4"/>
  <c r="P142" i="3"/>
  <c r="M142" i="1"/>
  <c r="M140" i="3"/>
  <c r="P140" i="3" s="1"/>
  <c r="O24" i="2"/>
  <c r="L14" i="2"/>
  <c r="O14" i="2" s="1"/>
  <c r="N66" i="3"/>
  <c r="N68" i="1"/>
  <c r="L30" i="3"/>
  <c r="O30" i="3" s="1"/>
  <c r="O32" i="3"/>
  <c r="O26" i="2"/>
  <c r="L16" i="2"/>
  <c r="O16" i="2" s="1"/>
  <c r="O273" i="2"/>
  <c r="L271" i="2"/>
  <c r="N20" i="3"/>
  <c r="N18" i="3" s="1"/>
  <c r="N12" i="3"/>
  <c r="O19" i="1"/>
  <c r="N290" i="1" l="1"/>
  <c r="N37" i="18"/>
  <c r="L9" i="3"/>
  <c r="O68" i="8"/>
  <c r="O292" i="3"/>
  <c r="L118" i="3"/>
  <c r="O118" i="3" s="1"/>
  <c r="L66" i="5"/>
  <c r="O66" i="5" s="1"/>
  <c r="N8" i="14"/>
  <c r="O252" i="5"/>
  <c r="L94" i="14"/>
  <c r="O94" i="14" s="1"/>
  <c r="L9" i="1"/>
  <c r="O9" i="1" s="1"/>
  <c r="O290" i="18"/>
  <c r="L12" i="5"/>
  <c r="O43" i="2"/>
  <c r="O292" i="12"/>
  <c r="O292" i="13"/>
  <c r="O220" i="6"/>
  <c r="L66" i="13"/>
  <c r="O66" i="13" s="1"/>
  <c r="L53" i="12"/>
  <c r="O53" i="12" s="1"/>
  <c r="N140" i="1"/>
  <c r="L329" i="6"/>
  <c r="O329" i="6" s="1"/>
  <c r="O43" i="12"/>
  <c r="O140" i="7"/>
  <c r="O222" i="6"/>
  <c r="L140" i="17"/>
  <c r="O140" i="17" s="1"/>
  <c r="L118" i="4"/>
  <c r="O118" i="4" s="1"/>
  <c r="L53" i="4"/>
  <c r="O53" i="4" s="1"/>
  <c r="L94" i="15"/>
  <c r="O94" i="15" s="1"/>
  <c r="L94" i="6"/>
  <c r="O94" i="6" s="1"/>
  <c r="N8" i="16"/>
  <c r="N8" i="12"/>
  <c r="M94" i="7"/>
  <c r="P94" i="7" s="1"/>
  <c r="L220" i="15"/>
  <c r="O220" i="15" s="1"/>
  <c r="O252" i="2"/>
  <c r="L290" i="17"/>
  <c r="O290" i="17" s="1"/>
  <c r="L140" i="9"/>
  <c r="O140" i="9" s="1"/>
  <c r="O331" i="3"/>
  <c r="O96" i="8"/>
  <c r="L94" i="4"/>
  <c r="O94" i="4" s="1"/>
  <c r="L12" i="7"/>
  <c r="L10" i="7" s="1"/>
  <c r="O22" i="7"/>
  <c r="O29" i="13"/>
  <c r="L9" i="14"/>
  <c r="O9" i="14" s="1"/>
  <c r="O312" i="18"/>
  <c r="L250" i="11"/>
  <c r="O250" i="11" s="1"/>
  <c r="L9" i="17"/>
  <c r="O9" i="17" s="1"/>
  <c r="O55" i="13"/>
  <c r="L28" i="17"/>
  <c r="O28" i="17" s="1"/>
  <c r="L290" i="14"/>
  <c r="O290" i="14" s="1"/>
  <c r="O222" i="9"/>
  <c r="M329" i="5"/>
  <c r="P329" i="5" s="1"/>
  <c r="O96" i="18"/>
  <c r="P20" i="15"/>
  <c r="L94" i="17"/>
  <c r="O94" i="17" s="1"/>
  <c r="O222" i="4"/>
  <c r="L290" i="11"/>
  <c r="O290" i="11" s="1"/>
  <c r="P20" i="4"/>
  <c r="N37" i="17"/>
  <c r="L250" i="17"/>
  <c r="O250" i="17" s="1"/>
  <c r="P312" i="1"/>
  <c r="L9" i="9"/>
  <c r="O9" i="9" s="1"/>
  <c r="L290" i="10"/>
  <c r="O290" i="10" s="1"/>
  <c r="L9" i="8"/>
  <c r="O9" i="8" s="1"/>
  <c r="O118" i="17"/>
  <c r="O312" i="7"/>
  <c r="O142" i="4"/>
  <c r="L28" i="15"/>
  <c r="O28" i="15" s="1"/>
  <c r="N8" i="10"/>
  <c r="L53" i="16"/>
  <c r="O53" i="16" s="1"/>
  <c r="L220" i="5"/>
  <c r="O220" i="5" s="1"/>
  <c r="L271" i="9"/>
  <c r="O271" i="9" s="1"/>
  <c r="O20" i="5"/>
  <c r="L250" i="6"/>
  <c r="O250" i="6" s="1"/>
  <c r="O43" i="17"/>
  <c r="L66" i="4"/>
  <c r="O66" i="4" s="1"/>
  <c r="L140" i="3"/>
  <c r="O140" i="3" s="1"/>
  <c r="L9" i="10"/>
  <c r="O9" i="10" s="1"/>
  <c r="O43" i="9"/>
  <c r="L271" i="16"/>
  <c r="O271" i="16" s="1"/>
  <c r="O252" i="14"/>
  <c r="L9" i="16"/>
  <c r="O9" i="16" s="1"/>
  <c r="N8" i="13"/>
  <c r="O142" i="18"/>
  <c r="O22" i="5"/>
  <c r="L118" i="8"/>
  <c r="O118" i="8" s="1"/>
  <c r="O142" i="7"/>
  <c r="P41" i="5"/>
  <c r="O28" i="13"/>
  <c r="L94" i="13"/>
  <c r="O94" i="13" s="1"/>
  <c r="L41" i="5"/>
  <c r="O41" i="5" s="1"/>
  <c r="L290" i="2"/>
  <c r="O290" i="2" s="1"/>
  <c r="O273" i="18"/>
  <c r="L329" i="13"/>
  <c r="O329" i="13" s="1"/>
  <c r="P12" i="12"/>
  <c r="L250" i="4"/>
  <c r="O250" i="4" s="1"/>
  <c r="L66" i="11"/>
  <c r="O66" i="11" s="1"/>
  <c r="O11" i="13"/>
  <c r="P12" i="14"/>
  <c r="L310" i="12"/>
  <c r="O310" i="12" s="1"/>
  <c r="O96" i="16"/>
  <c r="O292" i="6"/>
  <c r="L290" i="6"/>
  <c r="O290" i="6" s="1"/>
  <c r="L66" i="12"/>
  <c r="O66" i="12" s="1"/>
  <c r="L66" i="16"/>
  <c r="O66" i="16" s="1"/>
  <c r="N37" i="15"/>
  <c r="L53" i="8"/>
  <c r="O53" i="8" s="1"/>
  <c r="P12" i="8"/>
  <c r="L118" i="12"/>
  <c r="O118" i="12" s="1"/>
  <c r="O273" i="7"/>
  <c r="L220" i="14"/>
  <c r="O220" i="14" s="1"/>
  <c r="L28" i="2"/>
  <c r="N20" i="1"/>
  <c r="N18" i="1" s="1"/>
  <c r="M94" i="17"/>
  <c r="P94" i="17" s="1"/>
  <c r="P55" i="1"/>
  <c r="L66" i="18"/>
  <c r="O66" i="18" s="1"/>
  <c r="L66" i="10"/>
  <c r="O66" i="10" s="1"/>
  <c r="L310" i="13"/>
  <c r="O310" i="13" s="1"/>
  <c r="O68" i="6"/>
  <c r="O22" i="13"/>
  <c r="L140" i="12"/>
  <c r="O140" i="12" s="1"/>
  <c r="O142" i="2"/>
  <c r="O68" i="7"/>
  <c r="N8" i="8"/>
  <c r="L118" i="5"/>
  <c r="O118" i="5" s="1"/>
  <c r="O66" i="15"/>
  <c r="L28" i="10"/>
  <c r="O28" i="10" s="1"/>
  <c r="L329" i="17"/>
  <c r="O329" i="17" s="1"/>
  <c r="O310" i="18"/>
  <c r="L290" i="15"/>
  <c r="O290" i="15" s="1"/>
  <c r="O43" i="16"/>
  <c r="L220" i="8"/>
  <c r="O220" i="8" s="1"/>
  <c r="O222" i="8"/>
  <c r="L118" i="13"/>
  <c r="O118" i="13" s="1"/>
  <c r="L66" i="17"/>
  <c r="O66" i="17" s="1"/>
  <c r="O55" i="11"/>
  <c r="M20" i="5"/>
  <c r="M18" i="5" s="1"/>
  <c r="P18" i="5" s="1"/>
  <c r="P250" i="6"/>
  <c r="M16" i="5"/>
  <c r="P16" i="5" s="1"/>
  <c r="M18" i="4"/>
  <c r="P18" i="4" s="1"/>
  <c r="L118" i="2"/>
  <c r="O118" i="2" s="1"/>
  <c r="O292" i="18"/>
  <c r="L53" i="14"/>
  <c r="O53" i="14" s="1"/>
  <c r="L68" i="1"/>
  <c r="O68" i="1" s="1"/>
  <c r="L310" i="17"/>
  <c r="O310" i="17" s="1"/>
  <c r="N8" i="17"/>
  <c r="O11" i="18"/>
  <c r="N66" i="1"/>
  <c r="L12" i="11"/>
  <c r="L10" i="11" s="1"/>
  <c r="O28" i="9"/>
  <c r="L94" i="5"/>
  <c r="O94" i="5" s="1"/>
  <c r="O22" i="11"/>
  <c r="O252" i="7"/>
  <c r="L290" i="7"/>
  <c r="O290" i="7" s="1"/>
  <c r="M329" i="7"/>
  <c r="P329" i="7" s="1"/>
  <c r="O31" i="1"/>
  <c r="O53" i="3"/>
  <c r="N37" i="4"/>
  <c r="N8" i="4"/>
  <c r="L28" i="16"/>
  <c r="O28" i="16" s="1"/>
  <c r="P20" i="2"/>
  <c r="P220" i="6"/>
  <c r="L20" i="12"/>
  <c r="L18" i="12" s="1"/>
  <c r="O18" i="12" s="1"/>
  <c r="P142" i="1"/>
  <c r="L290" i="4"/>
  <c r="O290" i="4" s="1"/>
  <c r="L292" i="1"/>
  <c r="O292" i="1" s="1"/>
  <c r="N220" i="1"/>
  <c r="P271" i="4"/>
  <c r="O120" i="15"/>
  <c r="N8" i="7"/>
  <c r="N28" i="18"/>
  <c r="M18" i="15"/>
  <c r="P18" i="15" s="1"/>
  <c r="P140" i="6"/>
  <c r="N37" i="7"/>
  <c r="L329" i="4"/>
  <c r="O329" i="4" s="1"/>
  <c r="N8" i="9"/>
  <c r="L12" i="13"/>
  <c r="O12" i="13" s="1"/>
  <c r="L310" i="2"/>
  <c r="O310" i="2" s="1"/>
  <c r="O53" i="7"/>
  <c r="N250" i="1"/>
  <c r="N8" i="18"/>
  <c r="L142" i="1"/>
  <c r="O142" i="1" s="1"/>
  <c r="O30" i="15"/>
  <c r="N11" i="1"/>
  <c r="N9" i="1" s="1"/>
  <c r="L310" i="14"/>
  <c r="O310" i="14" s="1"/>
  <c r="O222" i="2"/>
  <c r="L12" i="12"/>
  <c r="L10" i="12" s="1"/>
  <c r="O10" i="12" s="1"/>
  <c r="L271" i="5"/>
  <c r="O271" i="5" s="1"/>
  <c r="O331" i="12"/>
  <c r="N37" i="12"/>
  <c r="M20" i="18"/>
  <c r="M18" i="18" s="1"/>
  <c r="P18" i="18" s="1"/>
  <c r="O11" i="11"/>
  <c r="L220" i="17"/>
  <c r="O220" i="17" s="1"/>
  <c r="L29" i="1"/>
  <c r="O29" i="1" s="1"/>
  <c r="N10" i="3"/>
  <c r="N8" i="3" s="1"/>
  <c r="M16" i="18"/>
  <c r="P16" i="18" s="1"/>
  <c r="P22" i="1"/>
  <c r="L310" i="10"/>
  <c r="O310" i="10" s="1"/>
  <c r="O329" i="3"/>
  <c r="M68" i="1"/>
  <c r="P68" i="1" s="1"/>
  <c r="L18" i="5"/>
  <c r="O18" i="5" s="1"/>
  <c r="P18" i="16"/>
  <c r="L312" i="1"/>
  <c r="O312" i="1" s="1"/>
  <c r="M331" i="1"/>
  <c r="P331" i="1" s="1"/>
  <c r="O30" i="4"/>
  <c r="P310" i="18"/>
  <c r="N310" i="1"/>
  <c r="M37" i="2"/>
  <c r="P37" i="2" s="1"/>
  <c r="O18" i="13"/>
  <c r="O68" i="9"/>
  <c r="L66" i="9"/>
  <c r="O66" i="9" s="1"/>
  <c r="M10" i="16"/>
  <c r="M8" i="16" s="1"/>
  <c r="O252" i="10"/>
  <c r="L250" i="10"/>
  <c r="O250" i="10" s="1"/>
  <c r="O11" i="7"/>
  <c r="L9" i="7"/>
  <c r="O9" i="7" s="1"/>
  <c r="O142" i="8"/>
  <c r="L140" i="8"/>
  <c r="O140" i="8" s="1"/>
  <c r="L16" i="1"/>
  <c r="O16" i="1" s="1"/>
  <c r="O26" i="1"/>
  <c r="L53" i="10"/>
  <c r="O53" i="10" s="1"/>
  <c r="O55" i="10"/>
  <c r="M10" i="12"/>
  <c r="L20" i="17"/>
  <c r="L18" i="17" s="1"/>
  <c r="O18" i="17" s="1"/>
  <c r="L290" i="8"/>
  <c r="O290" i="8" s="1"/>
  <c r="O292" i="8"/>
  <c r="L66" i="3"/>
  <c r="O66" i="3" s="1"/>
  <c r="O68" i="3"/>
  <c r="O29" i="18"/>
  <c r="L28" i="18"/>
  <c r="O120" i="10"/>
  <c r="L118" i="10"/>
  <c r="O118" i="10" s="1"/>
  <c r="L331" i="1"/>
  <c r="O331" i="1" s="1"/>
  <c r="L222" i="1"/>
  <c r="O222" i="1" s="1"/>
  <c r="O22" i="17"/>
  <c r="O222" i="12"/>
  <c r="L220" i="12"/>
  <c r="O220" i="12" s="1"/>
  <c r="L53" i="15"/>
  <c r="O53" i="15" s="1"/>
  <c r="O55" i="15"/>
  <c r="L273" i="1"/>
  <c r="O273" i="1" s="1"/>
  <c r="L271" i="8"/>
  <c r="O271" i="8" s="1"/>
  <c r="O22" i="3"/>
  <c r="L12" i="3"/>
  <c r="L10" i="3" s="1"/>
  <c r="L20" i="3"/>
  <c r="L18" i="3" s="1"/>
  <c r="O18" i="3" s="1"/>
  <c r="L28" i="14"/>
  <c r="O28" i="14" s="1"/>
  <c r="O29" i="14"/>
  <c r="O29" i="11"/>
  <c r="L28" i="11"/>
  <c r="O28" i="11" s="1"/>
  <c r="L140" i="15"/>
  <c r="O140" i="15" s="1"/>
  <c r="O142" i="15"/>
  <c r="O43" i="15"/>
  <c r="L41" i="15"/>
  <c r="O41" i="15" s="1"/>
  <c r="L140" i="10"/>
  <c r="O140" i="10" s="1"/>
  <c r="O142" i="10"/>
  <c r="O29" i="8"/>
  <c r="L28" i="8"/>
  <c r="O28" i="8" s="1"/>
  <c r="L252" i="1"/>
  <c r="O252" i="1" s="1"/>
  <c r="P292" i="1"/>
  <c r="O22" i="15"/>
  <c r="L12" i="15"/>
  <c r="L20" i="15"/>
  <c r="O252" i="3"/>
  <c r="L250" i="3"/>
  <c r="O250" i="3" s="1"/>
  <c r="O142" i="14"/>
  <c r="L140" i="14"/>
  <c r="O140" i="14" s="1"/>
  <c r="O292" i="5"/>
  <c r="L290" i="5"/>
  <c r="O290" i="5" s="1"/>
  <c r="O43" i="11"/>
  <c r="P273" i="1"/>
  <c r="L140" i="11"/>
  <c r="O140" i="11" s="1"/>
  <c r="L41" i="14"/>
  <c r="O41" i="14" s="1"/>
  <c r="O43" i="14"/>
  <c r="O29" i="7"/>
  <c r="L28" i="7"/>
  <c r="O28" i="7" s="1"/>
  <c r="P12" i="2"/>
  <c r="M10" i="2"/>
  <c r="P10" i="2" s="1"/>
  <c r="P12" i="9"/>
  <c r="M16" i="13"/>
  <c r="P16" i="13" s="1"/>
  <c r="P26" i="13"/>
  <c r="L20" i="18"/>
  <c r="O22" i="18"/>
  <c r="L12" i="18"/>
  <c r="P53" i="6"/>
  <c r="M37" i="6"/>
  <c r="P41" i="16"/>
  <c r="M37" i="16"/>
  <c r="P37" i="16" s="1"/>
  <c r="M290" i="1"/>
  <c r="P290" i="1" s="1"/>
  <c r="O68" i="14"/>
  <c r="L66" i="14"/>
  <c r="O66" i="14" s="1"/>
  <c r="M220" i="1"/>
  <c r="O55" i="5"/>
  <c r="L53" i="5"/>
  <c r="P26" i="3"/>
  <c r="M16" i="3"/>
  <c r="P16" i="3" s="1"/>
  <c r="P250" i="17"/>
  <c r="P12" i="3"/>
  <c r="O11" i="6"/>
  <c r="L9" i="6"/>
  <c r="N118" i="1"/>
  <c r="P12" i="17"/>
  <c r="M10" i="17"/>
  <c r="P10" i="17" s="1"/>
  <c r="L30" i="1"/>
  <c r="O32" i="1"/>
  <c r="L55" i="1"/>
  <c r="O57" i="1"/>
  <c r="P9" i="9"/>
  <c r="P41" i="17"/>
  <c r="N37" i="3"/>
  <c r="O41" i="2"/>
  <c r="L310" i="4"/>
  <c r="O310" i="4" s="1"/>
  <c r="O312" i="4"/>
  <c r="P41" i="12"/>
  <c r="M16" i="14"/>
  <c r="P26" i="14"/>
  <c r="M20" i="14"/>
  <c r="P220" i="3"/>
  <c r="P120" i="1"/>
  <c r="M140" i="1"/>
  <c r="P96" i="3"/>
  <c r="M96" i="1"/>
  <c r="P96" i="1" s="1"/>
  <c r="M94" i="3"/>
  <c r="O222" i="13"/>
  <c r="L220" i="13"/>
  <c r="P9" i="16"/>
  <c r="P68" i="10"/>
  <c r="M66" i="10"/>
  <c r="P49" i="1"/>
  <c r="M26" i="1"/>
  <c r="M43" i="1"/>
  <c r="P20" i="17"/>
  <c r="M18" i="17"/>
  <c r="P18" i="17" s="1"/>
  <c r="L20" i="2"/>
  <c r="O22" i="2"/>
  <c r="L12" i="2"/>
  <c r="P12" i="4"/>
  <c r="M10" i="4"/>
  <c r="P10" i="4" s="1"/>
  <c r="O9" i="18"/>
  <c r="P41" i="11"/>
  <c r="M37" i="11"/>
  <c r="P37" i="11" s="1"/>
  <c r="P329" i="3"/>
  <c r="O66" i="2"/>
  <c r="O120" i="7"/>
  <c r="L118" i="7"/>
  <c r="O118" i="7" s="1"/>
  <c r="P26" i="7"/>
  <c r="M16" i="7"/>
  <c r="M20" i="7"/>
  <c r="O9" i="13"/>
  <c r="P66" i="3"/>
  <c r="P41" i="4"/>
  <c r="M37" i="4"/>
  <c r="M37" i="13"/>
  <c r="P37" i="13" s="1"/>
  <c r="M10" i="15"/>
  <c r="P10" i="15" s="1"/>
  <c r="P12" i="15"/>
  <c r="O9" i="2"/>
  <c r="P118" i="11"/>
  <c r="L20" i="9"/>
  <c r="O22" i="9"/>
  <c r="L12" i="9"/>
  <c r="M16" i="10"/>
  <c r="P26" i="10"/>
  <c r="M20" i="10"/>
  <c r="O118" i="11"/>
  <c r="M250" i="1"/>
  <c r="O55" i="2"/>
  <c r="L53" i="2"/>
  <c r="O53" i="2" s="1"/>
  <c r="O120" i="16"/>
  <c r="L118" i="16"/>
  <c r="O118" i="16" s="1"/>
  <c r="L28" i="3"/>
  <c r="O28" i="3" s="1"/>
  <c r="O20" i="7"/>
  <c r="L18" i="7"/>
  <c r="O18" i="7" s="1"/>
  <c r="O18" i="11"/>
  <c r="O20" i="11"/>
  <c r="O96" i="2"/>
  <c r="L96" i="1"/>
  <c r="O96" i="1" s="1"/>
  <c r="L94" i="2"/>
  <c r="L43" i="1"/>
  <c r="L22" i="1"/>
  <c r="O45" i="1"/>
  <c r="O9" i="11"/>
  <c r="O41" i="4"/>
  <c r="P96" i="8"/>
  <c r="M94" i="8"/>
  <c r="P94" i="8" s="1"/>
  <c r="N8" i="11"/>
  <c r="P9" i="17"/>
  <c r="P9" i="10"/>
  <c r="P252" i="1"/>
  <c r="P26" i="8"/>
  <c r="M16" i="8"/>
  <c r="M20" i="8"/>
  <c r="P12" i="10"/>
  <c r="P12" i="16"/>
  <c r="O292" i="16"/>
  <c r="L290" i="16"/>
  <c r="O290" i="16" s="1"/>
  <c r="P9" i="2"/>
  <c r="L20" i="8"/>
  <c r="O22" i="8"/>
  <c r="L12" i="8"/>
  <c r="O120" i="9"/>
  <c r="L118" i="9"/>
  <c r="O271" i="4"/>
  <c r="O34" i="1"/>
  <c r="L14" i="1"/>
  <c r="O14" i="1" s="1"/>
  <c r="M10" i="6"/>
  <c r="P12" i="6"/>
  <c r="O9" i="5"/>
  <c r="O22" i="10"/>
  <c r="L12" i="10"/>
  <c r="L20" i="10"/>
  <c r="P12" i="13"/>
  <c r="P331" i="14"/>
  <c r="M329" i="14"/>
  <c r="P329" i="14" s="1"/>
  <c r="O331" i="11"/>
  <c r="L329" i="11"/>
  <c r="O329" i="11" s="1"/>
  <c r="O11" i="4"/>
  <c r="L9" i="4"/>
  <c r="M329" i="18"/>
  <c r="P331" i="18"/>
  <c r="M118" i="1"/>
  <c r="N8" i="2"/>
  <c r="P26" i="9"/>
  <c r="M16" i="9"/>
  <c r="P16" i="9" s="1"/>
  <c r="L9" i="12"/>
  <c r="O11" i="12"/>
  <c r="P12" i="7"/>
  <c r="P20" i="12"/>
  <c r="M18" i="12"/>
  <c r="P18" i="12" s="1"/>
  <c r="O20" i="13"/>
  <c r="O96" i="12"/>
  <c r="L94" i="12"/>
  <c r="M94" i="12"/>
  <c r="P94" i="12" s="1"/>
  <c r="P96" i="12"/>
  <c r="P26" i="11"/>
  <c r="M16" i="11"/>
  <c r="P16" i="11" s="1"/>
  <c r="M18" i="2"/>
  <c r="P18" i="2" s="1"/>
  <c r="O43" i="10"/>
  <c r="L41" i="10"/>
  <c r="P20" i="16"/>
  <c r="O29" i="4"/>
  <c r="L28" i="4"/>
  <c r="O28" i="4" s="1"/>
  <c r="O9" i="3"/>
  <c r="L120" i="1"/>
  <c r="O120" i="1" s="1"/>
  <c r="O140" i="6"/>
  <c r="L12" i="6"/>
  <c r="L20" i="6"/>
  <c r="O22" i="6"/>
  <c r="N28" i="2"/>
  <c r="M20" i="11"/>
  <c r="O29" i="12"/>
  <c r="L28" i="12"/>
  <c r="O28" i="12" s="1"/>
  <c r="O331" i="18"/>
  <c r="L329" i="18"/>
  <c r="O329" i="18" s="1"/>
  <c r="P9" i="4"/>
  <c r="P53" i="9"/>
  <c r="M37" i="9"/>
  <c r="P37" i="9" s="1"/>
  <c r="L20" i="14"/>
  <c r="O22" i="14"/>
  <c r="L12" i="14"/>
  <c r="P20" i="6"/>
  <c r="M18" i="6"/>
  <c r="P18" i="6" s="1"/>
  <c r="M20" i="13"/>
  <c r="P9" i="15"/>
  <c r="P43" i="8"/>
  <c r="M41" i="8"/>
  <c r="O14" i="10"/>
  <c r="O55" i="17"/>
  <c r="L53" i="17"/>
  <c r="P310" i="2"/>
  <c r="M310" i="1"/>
  <c r="P41" i="7"/>
  <c r="O312" i="5"/>
  <c r="L310" i="5"/>
  <c r="O310" i="5" s="1"/>
  <c r="O55" i="6"/>
  <c r="L53" i="6"/>
  <c r="O9" i="15"/>
  <c r="O33" i="1"/>
  <c r="L13" i="1"/>
  <c r="O13" i="1" s="1"/>
  <c r="O29" i="5"/>
  <c r="L28" i="5"/>
  <c r="O28" i="5" s="1"/>
  <c r="P12" i="11"/>
  <c r="L10" i="17"/>
  <c r="O10" i="17" s="1"/>
  <c r="O12" i="17"/>
  <c r="O271" i="2"/>
  <c r="N37" i="6"/>
  <c r="P41" i="6"/>
  <c r="P20" i="9"/>
  <c r="M18" i="9"/>
  <c r="P18" i="9" s="1"/>
  <c r="O22" i="16"/>
  <c r="L12" i="16"/>
  <c r="L20" i="16"/>
  <c r="N30" i="1"/>
  <c r="N28" i="1" s="1"/>
  <c r="N12" i="1"/>
  <c r="N10" i="1" s="1"/>
  <c r="O220" i="3"/>
  <c r="L20" i="4"/>
  <c r="O22" i="4"/>
  <c r="L12" i="4"/>
  <c r="P12" i="5"/>
  <c r="P331" i="15"/>
  <c r="M329" i="15"/>
  <c r="P12" i="18"/>
  <c r="O12" i="5"/>
  <c r="L10" i="5"/>
  <c r="O10" i="5" s="1"/>
  <c r="M66" i="7"/>
  <c r="P68" i="7"/>
  <c r="L329" i="10"/>
  <c r="O329" i="10" s="1"/>
  <c r="O331" i="10"/>
  <c r="O222" i="18"/>
  <c r="L220" i="18"/>
  <c r="O220" i="18" s="1"/>
  <c r="O41" i="8"/>
  <c r="O94" i="3"/>
  <c r="P271" i="2"/>
  <c r="M271" i="1"/>
  <c r="P271" i="1" s="1"/>
  <c r="P66" i="4"/>
  <c r="M20" i="3"/>
  <c r="P222" i="1"/>
  <c r="O29" i="6"/>
  <c r="L28" i="6"/>
  <c r="O28" i="6" s="1"/>
  <c r="O331" i="8"/>
  <c r="L329" i="8"/>
  <c r="O329" i="8" s="1"/>
  <c r="P140" i="1" l="1"/>
  <c r="P8" i="16"/>
  <c r="O12" i="7"/>
  <c r="M37" i="5"/>
  <c r="P37" i="5" s="1"/>
  <c r="O28" i="2"/>
  <c r="O28" i="18"/>
  <c r="M10" i="18"/>
  <c r="M8" i="18" s="1"/>
  <c r="P8" i="18" s="1"/>
  <c r="O20" i="12"/>
  <c r="N8" i="1"/>
  <c r="P20" i="5"/>
  <c r="L10" i="13"/>
  <c r="O10" i="13" s="1"/>
  <c r="P10" i="16"/>
  <c r="M37" i="17"/>
  <c r="P37" i="17" s="1"/>
  <c r="M10" i="5"/>
  <c r="P10" i="5" s="1"/>
  <c r="P20" i="18"/>
  <c r="P37" i="4"/>
  <c r="M37" i="7"/>
  <c r="P37" i="7" s="1"/>
  <c r="O12" i="11"/>
  <c r="M329" i="1"/>
  <c r="P329" i="1" s="1"/>
  <c r="O20" i="3"/>
  <c r="L271" i="1"/>
  <c r="O271" i="1" s="1"/>
  <c r="M8" i="4"/>
  <c r="P8" i="4" s="1"/>
  <c r="O10" i="11"/>
  <c r="L8" i="11"/>
  <c r="O8" i="11" s="1"/>
  <c r="P250" i="1"/>
  <c r="P220" i="1"/>
  <c r="O12" i="12"/>
  <c r="O20" i="17"/>
  <c r="M10" i="13"/>
  <c r="P10" i="13" s="1"/>
  <c r="N37" i="1"/>
  <c r="P310" i="1"/>
  <c r="O10" i="3"/>
  <c r="L250" i="1"/>
  <c r="O250" i="1" s="1"/>
  <c r="O12" i="3"/>
  <c r="M8" i="15"/>
  <c r="P8" i="15" s="1"/>
  <c r="M10" i="11"/>
  <c r="P10" i="11" s="1"/>
  <c r="L37" i="7"/>
  <c r="O37" i="7" s="1"/>
  <c r="M8" i="2"/>
  <c r="P8" i="2" s="1"/>
  <c r="P12" i="1"/>
  <c r="L290" i="1"/>
  <c r="O290" i="1" s="1"/>
  <c r="L37" i="3"/>
  <c r="O37" i="3" s="1"/>
  <c r="L37" i="14"/>
  <c r="O37" i="14" s="1"/>
  <c r="L140" i="1"/>
  <c r="O140" i="1" s="1"/>
  <c r="L8" i="3"/>
  <c r="O8" i="3" s="1"/>
  <c r="M8" i="17"/>
  <c r="P8" i="17" s="1"/>
  <c r="L118" i="1"/>
  <c r="O118" i="1" s="1"/>
  <c r="L66" i="1"/>
  <c r="O66" i="1" s="1"/>
  <c r="L18" i="15"/>
  <c r="O18" i="15" s="1"/>
  <c r="O20" i="15"/>
  <c r="P10" i="12"/>
  <c r="M8" i="12"/>
  <c r="P8" i="12" s="1"/>
  <c r="M10" i="3"/>
  <c r="P10" i="3" s="1"/>
  <c r="O12" i="15"/>
  <c r="L10" i="15"/>
  <c r="P118" i="1"/>
  <c r="L37" i="4"/>
  <c r="O37" i="4" s="1"/>
  <c r="L37" i="15"/>
  <c r="O37" i="15" s="1"/>
  <c r="O20" i="16"/>
  <c r="L18" i="16"/>
  <c r="O18" i="16" s="1"/>
  <c r="O53" i="6"/>
  <c r="L37" i="6"/>
  <c r="O37" i="6" s="1"/>
  <c r="O53" i="17"/>
  <c r="L37" i="17"/>
  <c r="O37" i="17" s="1"/>
  <c r="O9" i="4"/>
  <c r="L8" i="17"/>
  <c r="O8" i="17" s="1"/>
  <c r="O94" i="2"/>
  <c r="L94" i="1"/>
  <c r="O94" i="1" s="1"/>
  <c r="P20" i="10"/>
  <c r="M18" i="10"/>
  <c r="P18" i="10" s="1"/>
  <c r="O20" i="2"/>
  <c r="L18" i="2"/>
  <c r="O18" i="2" s="1"/>
  <c r="M37" i="12"/>
  <c r="P37" i="12" s="1"/>
  <c r="O53" i="5"/>
  <c r="L37" i="5"/>
  <c r="O37" i="5" s="1"/>
  <c r="P37" i="6"/>
  <c r="L10" i="6"/>
  <c r="O10" i="6" s="1"/>
  <c r="O12" i="6"/>
  <c r="L329" i="1"/>
  <c r="O329" i="1" s="1"/>
  <c r="L10" i="16"/>
  <c r="O12" i="16"/>
  <c r="O20" i="6"/>
  <c r="L18" i="6"/>
  <c r="O18" i="6" s="1"/>
  <c r="L37" i="18"/>
  <c r="O37" i="18" s="1"/>
  <c r="O20" i="10"/>
  <c r="L18" i="10"/>
  <c r="O18" i="10" s="1"/>
  <c r="O118" i="9"/>
  <c r="L37" i="9"/>
  <c r="O37" i="9" s="1"/>
  <c r="O55" i="1"/>
  <c r="L53" i="1"/>
  <c r="O53" i="1" s="1"/>
  <c r="P41" i="8"/>
  <c r="M37" i="8"/>
  <c r="P37" i="8" s="1"/>
  <c r="O12" i="8"/>
  <c r="L10" i="8"/>
  <c r="P43" i="1"/>
  <c r="M41" i="1"/>
  <c r="O30" i="1"/>
  <c r="L28" i="1"/>
  <c r="O28" i="1" s="1"/>
  <c r="O12" i="18"/>
  <c r="L10" i="18"/>
  <c r="M10" i="9"/>
  <c r="O220" i="13"/>
  <c r="L37" i="13"/>
  <c r="O37" i="13" s="1"/>
  <c r="O20" i="4"/>
  <c r="L18" i="4"/>
  <c r="O18" i="4" s="1"/>
  <c r="L37" i="11"/>
  <c r="O37" i="11" s="1"/>
  <c r="O12" i="14"/>
  <c r="L10" i="14"/>
  <c r="M37" i="14"/>
  <c r="P37" i="14" s="1"/>
  <c r="L8" i="5"/>
  <c r="O8" i="5" s="1"/>
  <c r="P20" i="8"/>
  <c r="M18" i="8"/>
  <c r="P18" i="8" s="1"/>
  <c r="L10" i="9"/>
  <c r="O12" i="9"/>
  <c r="P20" i="7"/>
  <c r="M18" i="7"/>
  <c r="P18" i="7" s="1"/>
  <c r="P26" i="1"/>
  <c r="M16" i="1"/>
  <c r="M20" i="1"/>
  <c r="P94" i="3"/>
  <c r="M94" i="1"/>
  <c r="P94" i="1" s="1"/>
  <c r="M37" i="3"/>
  <c r="P37" i="3" s="1"/>
  <c r="L310" i="1"/>
  <c r="O310" i="1" s="1"/>
  <c r="L10" i="10"/>
  <c r="O12" i="10"/>
  <c r="P20" i="11"/>
  <c r="M18" i="11"/>
  <c r="P18" i="11" s="1"/>
  <c r="O41" i="10"/>
  <c r="L37" i="10"/>
  <c r="O37" i="10" s="1"/>
  <c r="O10" i="7"/>
  <c r="L8" i="7"/>
  <c r="O8" i="7" s="1"/>
  <c r="O20" i="8"/>
  <c r="L18" i="8"/>
  <c r="O18" i="8" s="1"/>
  <c r="P16" i="8"/>
  <c r="M10" i="8"/>
  <c r="P16" i="7"/>
  <c r="M10" i="7"/>
  <c r="P20" i="14"/>
  <c r="M18" i="14"/>
  <c r="P18" i="14" s="1"/>
  <c r="O20" i="18"/>
  <c r="L18" i="18"/>
  <c r="O18" i="18" s="1"/>
  <c r="P66" i="7"/>
  <c r="M66" i="1"/>
  <c r="P66" i="1" s="1"/>
  <c r="P329" i="15"/>
  <c r="M37" i="15"/>
  <c r="P37" i="15" s="1"/>
  <c r="O20" i="14"/>
  <c r="L18" i="14"/>
  <c r="O18" i="14" s="1"/>
  <c r="O9" i="12"/>
  <c r="L8" i="12"/>
  <c r="O8" i="12" s="1"/>
  <c r="O22" i="1"/>
  <c r="L12" i="1"/>
  <c r="L20" i="1"/>
  <c r="L37" i="16"/>
  <c r="O37" i="16" s="1"/>
  <c r="O20" i="9"/>
  <c r="L18" i="9"/>
  <c r="O18" i="9" s="1"/>
  <c r="O12" i="2"/>
  <c r="L10" i="2"/>
  <c r="P66" i="10"/>
  <c r="M37" i="10"/>
  <c r="P37" i="10" s="1"/>
  <c r="O12" i="4"/>
  <c r="L10" i="4"/>
  <c r="O10" i="4" s="1"/>
  <c r="P16" i="10"/>
  <c r="M10" i="10"/>
  <c r="P20" i="3"/>
  <c r="M18" i="3"/>
  <c r="P18" i="3" s="1"/>
  <c r="L37" i="8"/>
  <c r="O37" i="8" s="1"/>
  <c r="P20" i="13"/>
  <c r="M18" i="13"/>
  <c r="P18" i="13" s="1"/>
  <c r="O94" i="12"/>
  <c r="L37" i="12"/>
  <c r="O37" i="12" s="1"/>
  <c r="P329" i="18"/>
  <c r="M37" i="18"/>
  <c r="P37" i="18" s="1"/>
  <c r="P10" i="6"/>
  <c r="M8" i="6"/>
  <c r="P8" i="6" s="1"/>
  <c r="O43" i="1"/>
  <c r="L41" i="1"/>
  <c r="P16" i="14"/>
  <c r="M10" i="14"/>
  <c r="L37" i="2"/>
  <c r="O37" i="2" s="1"/>
  <c r="O9" i="6"/>
  <c r="L220" i="1"/>
  <c r="O220" i="1" s="1"/>
  <c r="P10" i="18" l="1"/>
  <c r="L8" i="13"/>
  <c r="O8" i="13" s="1"/>
  <c r="M8" i="5"/>
  <c r="P8" i="5" s="1"/>
  <c r="M8" i="13"/>
  <c r="P8" i="13" s="1"/>
  <c r="M8" i="3"/>
  <c r="P8" i="3" s="1"/>
  <c r="L8" i="6"/>
  <c r="O8" i="6" s="1"/>
  <c r="M8" i="11"/>
  <c r="P8" i="11" s="1"/>
  <c r="O10" i="15"/>
  <c r="L8" i="15"/>
  <c r="O8" i="15" s="1"/>
  <c r="O20" i="1"/>
  <c r="L18" i="1"/>
  <c r="O18" i="1" s="1"/>
  <c r="P10" i="7"/>
  <c r="M8" i="7"/>
  <c r="P8" i="7" s="1"/>
  <c r="O10" i="9"/>
  <c r="L8" i="9"/>
  <c r="O8" i="9" s="1"/>
  <c r="L10" i="1"/>
  <c r="O12" i="1"/>
  <c r="P10" i="8"/>
  <c r="M8" i="8"/>
  <c r="P8" i="8" s="1"/>
  <c r="P20" i="1"/>
  <c r="M18" i="1"/>
  <c r="P18" i="1" s="1"/>
  <c r="O10" i="2"/>
  <c r="L8" i="2"/>
  <c r="O8" i="2" s="1"/>
  <c r="P16" i="1"/>
  <c r="M10" i="1"/>
  <c r="P41" i="1"/>
  <c r="M37" i="1"/>
  <c r="P37" i="1" s="1"/>
  <c r="O41" i="1"/>
  <c r="L37" i="1"/>
  <c r="O37" i="1" s="1"/>
  <c r="P10" i="9"/>
  <c r="M8" i="9"/>
  <c r="P8" i="9" s="1"/>
  <c r="O10" i="8"/>
  <c r="L8" i="8"/>
  <c r="O8" i="8" s="1"/>
  <c r="O10" i="16"/>
  <c r="L8" i="16"/>
  <c r="O8" i="16" s="1"/>
  <c r="P10" i="14"/>
  <c r="M8" i="14"/>
  <c r="P8" i="14" s="1"/>
  <c r="P10" i="10"/>
  <c r="M8" i="10"/>
  <c r="P8" i="10" s="1"/>
  <c r="O10" i="10"/>
  <c r="L8" i="10"/>
  <c r="O8" i="10" s="1"/>
  <c r="O10" i="14"/>
  <c r="L8" i="14"/>
  <c r="O8" i="14" s="1"/>
  <c r="O10" i="18"/>
  <c r="L8" i="18"/>
  <c r="O8" i="18" s="1"/>
  <c r="L8" i="4"/>
  <c r="O8" i="4" s="1"/>
  <c r="O10" i="1" l="1"/>
  <c r="L8" i="1"/>
  <c r="O8" i="1" s="1"/>
  <c r="P10" i="1"/>
  <c r="M8" i="1"/>
  <c r="P8" i="1" s="1"/>
</calcChain>
</file>

<file path=xl/sharedStrings.xml><?xml version="1.0" encoding="utf-8"?>
<sst xmlns="http://schemas.openxmlformats.org/spreadsheetml/2006/main" count="22500" uniqueCount="273">
  <si>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</si>
  <si>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</si>
  <si>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</si>
  <si>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</si>
  <si>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</si>
  <si>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</si>
  <si>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</si>
  <si>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</si>
  <si>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</si>
  <si>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</si>
  <si>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</si>
  <si>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</si>
  <si>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</si>
  <si>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</si>
  <si>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</si>
  <si>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</si>
  <si>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</si>
  <si>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</si>
  <si>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</si>
  <si>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</si>
  <si>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</si>
  <si>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</si>
  <si>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</si>
  <si>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</si>
  <si>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</si>
  <si>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</si>
  <si>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</si>
  <si>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</si>
  <si>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</si>
  <si>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</si>
  <si>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</si>
  <si>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</si>
  <si>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</si>
  <si>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</si>
  <si>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</si>
  <si>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</si>
  <si>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</si>
  <si>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</si>
  <si>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</si>
  <si>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</si>
  <si>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</si>
  <si>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</si>
  <si>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</si>
  <si>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</si>
  <si>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</si>
  <si>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</si>
  <si>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</si>
  <si>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</si>
  <si>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</si>
  <si>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</si>
  <si>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</si>
  <si>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</si>
  <si>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</si>
  <si>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</si>
  <si>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</si>
  <si>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</si>
  <si>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</si>
  <si>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</si>
  <si>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</si>
  <si>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</si>
  <si>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</si>
  <si>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</si>
  <si>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</si>
  <si>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</si>
  <si>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</si>
  <si>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</si>
  <si>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</si>
  <si>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</si>
  <si>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</si>
  <si>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</si>
  <si>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</si>
  <si>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</si>
  <si>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</si>
  <si>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</si>
  <si>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</si>
  <si>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</si>
  <si>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</si>
  <si>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</si>
  <si>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</si>
  <si>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</si>
  <si>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</si>
  <si>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</si>
  <si>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</si>
  <si>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</si>
  <si>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</si>
  <si>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</si>
  <si>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</si>
  <si>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</si>
  <si>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</si>
  <si>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</si>
  <si>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</si>
  <si>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</si>
  <si>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</si>
  <si>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</si>
  <si>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</si>
  <si>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</si>
  <si>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</si>
  <si>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</si>
  <si>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</si>
  <si>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</si>
  <si>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</si>
  <si>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</si>
  <si>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</si>
  <si>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</si>
  <si>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</si>
  <si>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</si>
  <si>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</si>
  <si>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</si>
  <si>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</si>
  <si>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</si>
  <si>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</si>
  <si>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</si>
  <si>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</si>
  <si>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</si>
  <si>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</si>
  <si>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</si>
  <si>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</si>
  <si>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</si>
  <si>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</si>
  <si>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</si>
  <si>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</si>
  <si>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</si>
  <si>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</si>
  <si>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</si>
  <si>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</si>
  <si>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</si>
  <si>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</si>
  <si>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</si>
  <si>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</si>
  <si>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</si>
  <si>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</si>
  <si>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</si>
  <si>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</si>
  <si>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</si>
  <si>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</si>
  <si>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</si>
  <si>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</si>
  <si>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</si>
  <si>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</si>
  <si>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</si>
  <si>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</si>
  <si>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</si>
  <si>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</si>
  <si>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</si>
  <si>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</si>
  <si>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</si>
  <si>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</si>
  <si>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</si>
  <si>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</si>
  <si>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</si>
  <si>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</si>
  <si>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</si>
  <si>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</si>
  <si>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</si>
  <si>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</si>
  <si>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</si>
  <si>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</si>
  <si>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</si>
  <si>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</si>
  <si>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</si>
  <si>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</si>
  <si>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</si>
  <si>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</si>
  <si>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</si>
  <si>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</si>
  <si>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</si>
  <si>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</si>
  <si>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</si>
  <si>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</si>
  <si>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</si>
  <si>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</si>
  <si>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</si>
  <si>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</si>
  <si>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</si>
  <si>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</si>
  <si>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</si>
  <si>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</si>
  <si>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</si>
  <si>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</si>
  <si>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</si>
  <si>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</si>
  <si>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</si>
  <si>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</si>
  <si>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</si>
  <si>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</si>
  <si>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</si>
  <si>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</si>
  <si>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</si>
  <si>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</si>
  <si>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</si>
  <si>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</si>
  <si>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</si>
  <si>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</si>
  <si>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</si>
  <si>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</si>
  <si>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</si>
  <si>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</si>
  <si>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</si>
  <si>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</si>
  <si>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</si>
  <si>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</si>
  <si>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</si>
  <si>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</si>
  <si>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</si>
  <si>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</si>
  <si>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</si>
  <si>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</si>
  <si>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</si>
  <si>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</si>
  <si>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</si>
  <si>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</si>
  <si>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</si>
  <si>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</si>
  <si>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</si>
  <si>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</si>
  <si>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</si>
  <si>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</si>
  <si>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</si>
  <si>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</si>
  <si>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</si>
  <si>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</si>
  <si>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</si>
  <si>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</si>
  <si>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</si>
  <si>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</si>
  <si>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</si>
  <si>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</si>
  <si>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</si>
  <si>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</si>
  <si>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</si>
  <si>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</si>
  <si>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</si>
  <si>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</si>
  <si>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</si>
  <si>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</si>
  <si>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</si>
  <si>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</si>
  <si>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</si>
  <si>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</si>
  <si>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</si>
  <si>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</si>
  <si>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</si>
  <si>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</si>
  <si>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</si>
  <si>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</si>
  <si>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</si>
  <si>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</si>
  <si>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</si>
  <si>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</si>
  <si>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</si>
  <si>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</si>
  <si>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</si>
  <si>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</si>
  <si>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</si>
  <si>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</si>
  <si>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</si>
  <si>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</si>
  <si>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</si>
  <si>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</si>
  <si>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</si>
  <si>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</si>
  <si>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</si>
  <si>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</si>
  <si>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</si>
  <si>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</si>
  <si>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</si>
  <si>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</si>
  <si>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</si>
  <si>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</si>
  <si>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</si>
  <si>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</si>
  <si>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</si>
  <si>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มีนาคม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</si>
</sst>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16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38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2" borderId="20" xfId="0" applyNumberFormat="1" applyFont="1" applyFill="1" applyBorder="1" applyAlignment="1"/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10" fillId="2" borderId="30" xfId="0" quotePrefix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2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3" fillId="0" borderId="14" xfId="0" applyFont="1" applyBorder="1"/>
    <xf numFmtId="0" fontId="5" fillId="2" borderId="18" xfId="0" applyFont="1" applyFill="1" applyBorder="1" applyAlignment="1">
      <alignment horizontal="left"/>
    </xf>
    <xf numFmtId="0" fontId="3" fillId="0" borderId="18" xfId="0" applyFont="1" applyBorder="1"/>
    <xf numFmtId="0" fontId="1" fillId="11" borderId="5" xfId="0" applyFont="1" applyFill="1" applyBorder="1" applyAlignment="1">
      <alignment horizontal="left"/>
    </xf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7" fillId="15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9" fillId="2" borderId="14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9" width="16.7265625" bestFit="1" customWidth="1"/>
    <col min="10" max="10" width="15.36328125" bestFit="1" customWidth="1"/>
    <col min="11" max="11" width="11" bestFit="1" customWidth="1"/>
    <col min="12" max="13" width="20.08984375" customWidth="1"/>
    <col min="14" max="14" width="19.363281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1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119383374</v>
      </c>
      <c r="M8" s="23">
        <f t="shared" ca="1" si="0"/>
        <v>53462301</v>
      </c>
      <c r="N8" s="23">
        <f t="shared" ca="1" si="0"/>
        <v>49533048.030000001</v>
      </c>
      <c r="O8" s="22">
        <f t="shared" ref="O8:O16" ca="1" si="1">IF(L8&gt;0,N8*100/L8,0)</f>
        <v>41.490742278736398</v>
      </c>
      <c r="P8" s="22">
        <f t="shared" ref="P8:P16" ca="1" si="2">IF(M8&gt;0,N8*100/M8,0)</f>
        <v>92.650423014901662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119383374</v>
      </c>
      <c r="M10" s="30">
        <f t="shared" ca="1" si="4"/>
        <v>53462301</v>
      </c>
      <c r="N10" s="30">
        <f t="shared" ca="1" si="4"/>
        <v>49533048.030000001</v>
      </c>
      <c r="O10" s="29">
        <f t="shared" ca="1" si="1"/>
        <v>41.490742278736398</v>
      </c>
      <c r="P10" s="29">
        <f t="shared" ca="1" si="2"/>
        <v>92.650423014901662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98143624</v>
      </c>
      <c r="M12" s="38">
        <f t="shared" ca="1" si="6"/>
        <v>32222551</v>
      </c>
      <c r="N12" s="38">
        <f t="shared" ca="1" si="6"/>
        <v>35095703.030000001</v>
      </c>
      <c r="O12" s="38">
        <f t="shared" ca="1" si="1"/>
        <v>35.759534445151523</v>
      </c>
      <c r="P12" s="38">
        <f t="shared" ca="1" si="2"/>
        <v>108.91658773385136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35134700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63008924</v>
      </c>
      <c r="M14" s="38">
        <f t="shared" si="8"/>
        <v>0</v>
      </c>
      <c r="N14" s="38">
        <f t="shared" ca="1" si="8"/>
        <v>9434341.0300000012</v>
      </c>
      <c r="O14" s="38">
        <f t="shared" ca="1" si="1"/>
        <v>14.973023551394087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21239750</v>
      </c>
      <c r="M16" s="38">
        <f t="shared" ca="1" si="10"/>
        <v>21239750</v>
      </c>
      <c r="N16" s="38">
        <f t="shared" ca="1" si="10"/>
        <v>14437345</v>
      </c>
      <c r="O16" s="49">
        <f t="shared" ca="1" si="1"/>
        <v>67.973234148236202</v>
      </c>
      <c r="P16" s="49">
        <f t="shared" ca="1" si="2"/>
        <v>67.973234148236202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79499590</v>
      </c>
      <c r="M18" s="23">
        <f t="shared" ca="1" si="11"/>
        <v>53462301</v>
      </c>
      <c r="N18" s="23">
        <f t="shared" ca="1" si="11"/>
        <v>40098707</v>
      </c>
      <c r="O18" s="22">
        <f t="shared" ref="O18:O26" ca="1" si="12">IF(L18&gt;0,N18*100/L18,0)</f>
        <v>50.438885282301456</v>
      </c>
      <c r="P18" s="22">
        <f t="shared" ref="P18:P26" ca="1" si="13">IF(M18&gt;0,N18*100/M18,0)</f>
        <v>75.003705882393646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79499590</v>
      </c>
      <c r="M20" s="30">
        <f t="shared" ca="1" si="15"/>
        <v>53462301</v>
      </c>
      <c r="N20" s="30">
        <f t="shared" ca="1" si="15"/>
        <v>40098707</v>
      </c>
      <c r="O20" s="29">
        <f t="shared" ca="1" si="12"/>
        <v>50.438885282301456</v>
      </c>
      <c r="P20" s="29">
        <f t="shared" ca="1" si="13"/>
        <v>75.003705882393646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si="12"/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7">L45+L57+L70+L98+L122+L144+L224+L254+L275+L294+L314+L333</f>
        <v>58259840</v>
      </c>
      <c r="M22" s="41">
        <f t="shared" ca="1" si="17"/>
        <v>32222551</v>
      </c>
      <c r="N22" s="38">
        <f t="shared" ca="1" si="17"/>
        <v>25661362</v>
      </c>
      <c r="O22" s="38">
        <f t="shared" ca="1" si="12"/>
        <v>44.046399715481542</v>
      </c>
      <c r="P22" s="38">
        <f t="shared" ca="1" si="13"/>
        <v>79.637897074008819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8">L46+L58+L71+L99+L123+L145+L225+L255+L276+L295+L315+L334</f>
        <v>35134700</v>
      </c>
      <c r="M23" s="41">
        <f t="shared" si="18"/>
        <v>0</v>
      </c>
      <c r="N23" s="38">
        <f t="shared" si="18"/>
        <v>0</v>
      </c>
      <c r="O23" s="38">
        <f t="shared" ca="1" si="12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19">L47+L59+L72+L100+L124+L146+L226+L256+L277+L296+L316+L335</f>
        <v>23125140</v>
      </c>
      <c r="M24" s="41">
        <f t="shared" si="19"/>
        <v>0</v>
      </c>
      <c r="N24" s="38">
        <f t="shared" si="19"/>
        <v>0</v>
      </c>
      <c r="O24" s="38">
        <f t="shared" ca="1" si="12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0">L48+L60+L73+L101+L125+L147+L227+L257+L278+L297+L317+L336</f>
        <v>0</v>
      </c>
      <c r="M25" s="41">
        <f t="shared" si="20"/>
        <v>0</v>
      </c>
      <c r="N25" s="41">
        <f t="shared" si="20"/>
        <v>0</v>
      </c>
      <c r="O25" s="41">
        <f t="shared" si="12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1">L49+L61+L74+L102+L126+L148+L228+L258+L279+L298+L318+L337</f>
        <v>21239750</v>
      </c>
      <c r="M26" s="49">
        <f t="shared" ca="1" si="21"/>
        <v>21239750</v>
      </c>
      <c r="N26" s="49">
        <f t="shared" ca="1" si="21"/>
        <v>14437345</v>
      </c>
      <c r="O26" s="49">
        <f t="shared" ca="1" si="12"/>
        <v>67.973234148236202</v>
      </c>
      <c r="P26" s="49">
        <f t="shared" ca="1" si="13"/>
        <v>67.973234148236202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2">L29+L30</f>
        <v>39883784</v>
      </c>
      <c r="M28" s="23">
        <f t="shared" si="22"/>
        <v>0</v>
      </c>
      <c r="N28" s="23">
        <f t="shared" ca="1" si="22"/>
        <v>9434341.0300000012</v>
      </c>
      <c r="O28" s="22">
        <f t="shared" ref="O28:O30" ca="1" si="23">IF(L28&gt;0,N28*100/L28,0)</f>
        <v>23.6545785876285</v>
      </c>
      <c r="P28" s="22">
        <f t="shared" ref="P28:P37" si="24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39883784</v>
      </c>
      <c r="M30" s="30">
        <f t="shared" si="26"/>
        <v>0</v>
      </c>
      <c r="N30" s="30">
        <f t="shared" ca="1" si="26"/>
        <v>9434341.0300000012</v>
      </c>
      <c r="O30" s="29">
        <f t="shared" ca="1" si="23"/>
        <v>23.6545785876285</v>
      </c>
      <c r="P30" s="29">
        <f t="shared" si="24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7">L351+L382+L403+L436+L456+L534+L552+L565+L581+L598</f>
        <v>0</v>
      </c>
      <c r="M31" s="38">
        <f t="shared" si="27"/>
        <v>0</v>
      </c>
      <c r="N31" s="38">
        <f t="shared" ca="1" si="27"/>
        <v>0</v>
      </c>
      <c r="O31" s="38">
        <f t="shared" ref="O31:O37" ca="1" si="28">IF(L31&gt;0,N31*100/L31,0)</f>
        <v>0</v>
      </c>
      <c r="P31" s="38">
        <f t="shared" si="24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29">L352+L383+L404+L437+L457+L535+L553+L566+L582+L599</f>
        <v>39883784</v>
      </c>
      <c r="M32" s="38">
        <f t="shared" si="29"/>
        <v>0</v>
      </c>
      <c r="N32" s="38">
        <f t="shared" ca="1" si="29"/>
        <v>9434341.0300000012</v>
      </c>
      <c r="O32" s="38">
        <f t="shared" ca="1" si="28"/>
        <v>23.6545785876285</v>
      </c>
      <c r="P32" s="38">
        <f t="shared" si="24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0">L353+L384+L405+L438+L458+L536+L554+L567+L583+L600</f>
        <v>0</v>
      </c>
      <c r="M33" s="38">
        <f t="shared" si="30"/>
        <v>0</v>
      </c>
      <c r="N33" s="38">
        <f t="shared" ca="1" si="30"/>
        <v>0</v>
      </c>
      <c r="O33" s="38">
        <f t="shared" ca="1" si="28"/>
        <v>0</v>
      </c>
      <c r="P33" s="38">
        <f t="shared" si="24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1">L354+L385+L406+L439+L459+L537+L555+L568+L584+L601</f>
        <v>39883784</v>
      </c>
      <c r="M34" s="38">
        <f t="shared" si="31"/>
        <v>0</v>
      </c>
      <c r="N34" s="38">
        <f t="shared" ca="1" si="31"/>
        <v>9434341.0300000012</v>
      </c>
      <c r="O34" s="38">
        <f t="shared" ca="1" si="28"/>
        <v>23.6545785876285</v>
      </c>
      <c r="P34" s="38">
        <f t="shared" si="24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8"/>
        <v>0</v>
      </c>
      <c r="P35" s="41">
        <f t="shared" si="24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8"/>
        <v>0</v>
      </c>
      <c r="P36" s="49">
        <f t="shared" si="24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2">L41+L53+L66+L94+L118+L140+L220+L250+L271+L290+L310+L329</f>
        <v>79499590</v>
      </c>
      <c r="M37" s="54">
        <f t="shared" ca="1" si="32"/>
        <v>53462301</v>
      </c>
      <c r="N37" s="54">
        <f t="shared" ca="1" si="32"/>
        <v>40098707</v>
      </c>
      <c r="O37" s="55">
        <f t="shared" ca="1" si="28"/>
        <v>50.438885282301456</v>
      </c>
      <c r="P37" s="55">
        <f t="shared" ca="1" si="24"/>
        <v>75.003705882393646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3">L42+L43</f>
        <v>28036730</v>
      </c>
      <c r="M41" s="78">
        <f t="shared" ca="1" si="33"/>
        <v>21746170</v>
      </c>
      <c r="N41" s="78">
        <f t="shared" ca="1" si="33"/>
        <v>14063514</v>
      </c>
      <c r="O41" s="77">
        <f t="shared" ref="O41:O43" ca="1" si="34">IF(L41&gt;0,N41*100/L41,0)</f>
        <v>50.161035184916358</v>
      </c>
      <c r="P41" s="77">
        <f t="shared" ref="P41:P43" ca="1" si="35">IF(M41&gt;0,N41*100/M41,0)</f>
        <v>64.671222564709097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6">L44+L48</f>
        <v>0</v>
      </c>
      <c r="M42" s="78">
        <f t="shared" si="36"/>
        <v>0</v>
      </c>
      <c r="N42" s="78">
        <f t="shared" si="36"/>
        <v>0</v>
      </c>
      <c r="O42" s="77">
        <f t="shared" si="34"/>
        <v>0</v>
      </c>
      <c r="P42" s="77">
        <f t="shared" si="35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7">L45+L49</f>
        <v>28036730</v>
      </c>
      <c r="M43" s="78">
        <f t="shared" ca="1" si="37"/>
        <v>21746170</v>
      </c>
      <c r="N43" s="78">
        <f t="shared" ca="1" si="37"/>
        <v>14063514</v>
      </c>
      <c r="O43" s="77">
        <f t="shared" ca="1" si="34"/>
        <v>50.161035184916358</v>
      </c>
      <c r="P43" s="77">
        <f t="shared" ca="1" si="35"/>
        <v>64.671222564709097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7"/>
      <c r="N44" s="86"/>
      <c r="O44" s="86"/>
      <c r="P44" s="86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12766200</v>
      </c>
      <c r="M45" s="49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6475640</v>
      </c>
      <c r="N45" s="49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5592984</v>
      </c>
      <c r="O45" s="38">
        <f ca="1">IF(L45&gt;0,N45*100/L45,0)</f>
        <v>43.810875593363725</v>
      </c>
      <c r="P45" s="38">
        <f ca="1">IF(M45&gt;0,N45*100/M45,0)</f>
        <v>86.369594356696794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12766200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15270530</v>
      </c>
      <c r="M49" s="49">
        <f ca="1">กำแพงเพชร!M49+เชียงราย!M49+เชียงใหม่!M49+ตาก!M49+นครสวรรค์!M49+น่าน!M49+พะเยา!M49+พิจิตร!M49+พิษณุโลก!M49+เพชรบูรณ์!M49+แพร่!M49+แม่ฮ่องสอน!M49+ลำปาง!M49+ลำพูน!M49+สุโขทัย!M49+อุตรดิตถ์!M49+อุทัยธานี!M49</f>
        <v>15270530</v>
      </c>
      <c r="N49" s="49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8470530</v>
      </c>
      <c r="O49" s="49">
        <f ca="1">IF(L49&gt;0,N49*100/L49,0)</f>
        <v>55.469783956418013</v>
      </c>
      <c r="P49" s="49">
        <f ca="1">IF(M49&gt;0,N49*100/M49,0)</f>
        <v>55.469783956418013</v>
      </c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8">L54+L55</f>
        <v>8935700</v>
      </c>
      <c r="M53" s="120">
        <f t="shared" ca="1" si="38"/>
        <v>4967281</v>
      </c>
      <c r="N53" s="120">
        <f t="shared" ca="1" si="38"/>
        <v>4486824</v>
      </c>
      <c r="O53" s="119">
        <f t="shared" ref="O53:O55" ca="1" si="39">IF(L53&gt;0,N53*100/L53,0)</f>
        <v>50.212339268328165</v>
      </c>
      <c r="P53" s="119">
        <f t="shared" ref="P53:P55" ca="1" si="40">IF(M53&gt;0,N53*100/M53,0)</f>
        <v>90.327565523271176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1">L56+L60</f>
        <v>0</v>
      </c>
      <c r="M54" s="120">
        <f t="shared" si="41"/>
        <v>0</v>
      </c>
      <c r="N54" s="120">
        <f t="shared" si="41"/>
        <v>0</v>
      </c>
      <c r="O54" s="119">
        <f t="shared" si="39"/>
        <v>0</v>
      </c>
      <c r="P54" s="119">
        <f t="shared" si="40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2">L57+L61</f>
        <v>8935700</v>
      </c>
      <c r="M55" s="120">
        <f t="shared" ca="1" si="42"/>
        <v>4967281</v>
      </c>
      <c r="N55" s="120">
        <f t="shared" ca="1" si="42"/>
        <v>4486824</v>
      </c>
      <c r="O55" s="119">
        <f t="shared" ca="1" si="39"/>
        <v>50.212339268328165</v>
      </c>
      <c r="P55" s="119">
        <f t="shared" ca="1" si="40"/>
        <v>90.327565523271176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86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8935700</v>
      </c>
      <c r="M57" s="49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4967281</v>
      </c>
      <c r="N57" s="49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4486824</v>
      </c>
      <c r="O57" s="38">
        <f ca="1">IF(L57&gt;0,N57*100/L57,0)</f>
        <v>50.212339268328165</v>
      </c>
      <c r="P57" s="38">
        <f ca="1">IF(M57&gt;0,N57*100/M57,0)</f>
        <v>90.327565523271176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8935700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49"/>
      <c r="N61" s="49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1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13</v>
      </c>
      <c r="K64" s="142">
        <f t="shared" ref="K64:K65" ca="1" si="43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1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641</v>
      </c>
      <c r="K65" s="142">
        <f t="shared" ca="1" si="43"/>
        <v>99.226006191950461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10891500</v>
      </c>
      <c r="M66" s="151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7781940</v>
      </c>
      <c r="N66" s="151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6481498</v>
      </c>
      <c r="O66" s="150">
        <f t="shared" ref="O66:O68" ca="1" si="44">IF(L66&gt;0,N66*100/L66,0)</f>
        <v>59.50969104347427</v>
      </c>
      <c r="P66" s="150">
        <f t="shared" ref="P66:P68" ca="1" si="45">IF(M66&gt;0,N66*100/M66,0)</f>
        <v>83.28897421465598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87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87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55">
        <f t="shared" si="44"/>
        <v>0</v>
      </c>
      <c r="P67" s="155">
        <f t="shared" si="45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10891500</v>
      </c>
      <c r="M68" s="87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7781940</v>
      </c>
      <c r="N68" s="87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6481498</v>
      </c>
      <c r="O68" s="155">
        <f t="shared" ca="1" si="44"/>
        <v>59.50969104347427</v>
      </c>
      <c r="P68" s="155">
        <f t="shared" ca="1" si="45"/>
        <v>83.28897421465598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64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64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7166900</v>
      </c>
      <c r="M70" s="167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4057340</v>
      </c>
      <c r="N70" s="168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2756898</v>
      </c>
      <c r="O70" s="168">
        <f ca="1">IF(L70&gt;0,N70*100/L70,0)</f>
        <v>38.467091769105195</v>
      </c>
      <c r="P70" s="168">
        <f ca="1">IF(M70&gt;0,N70*100/M70,0)</f>
        <v>67.948409549113464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5920200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3724600</v>
      </c>
      <c r="M74" s="49">
        <f ca="1"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3724600</v>
      </c>
      <c r="N74" s="49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3724600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10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10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00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13</v>
      </c>
      <c r="K80" s="201">
        <f t="shared" ref="K80:K88" ca="1" si="46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00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641</v>
      </c>
      <c r="K81" s="201">
        <f t="shared" ca="1" si="46"/>
        <v>99.226006191950461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03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4</v>
      </c>
      <c r="K82" s="163">
        <f t="shared" ca="1" si="46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03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155</v>
      </c>
      <c r="K83" s="163">
        <f t="shared" ca="1" si="46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88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3</v>
      </c>
      <c r="K84" s="163">
        <f t="shared" ca="1" si="46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88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145</v>
      </c>
      <c r="K85" s="163">
        <f t="shared" ca="1" si="46"/>
        <v>96.666666666666671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03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6</v>
      </c>
      <c r="K86" s="163">
        <f t="shared" ca="1" si="46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03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341</v>
      </c>
      <c r="K87" s="163">
        <f t="shared" ca="1" si="46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155</v>
      </c>
      <c r="J88" s="203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0</v>
      </c>
      <c r="K88" s="163">
        <f t="shared" ca="1" si="46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1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23</v>
      </c>
      <c r="K92" s="142">
        <f t="shared" ref="K92:K93" ca="1" si="47">IF(I92&gt;0,J92*100/I92,0)</f>
        <v>46.938775510204081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1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7</v>
      </c>
      <c r="K93" s="142">
        <f t="shared" ca="1" si="47"/>
        <v>53.846153846153847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2457980</v>
      </c>
      <c r="M94" s="151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1924280</v>
      </c>
      <c r="N94" s="151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1475450</v>
      </c>
      <c r="O94" s="150">
        <f t="shared" ref="O94:O96" ca="1" si="48">IF(L94&gt;0,N94*100/L94,0)</f>
        <v>60.026932684562119</v>
      </c>
      <c r="P94" s="150">
        <f t="shared" ref="P94:P96" ca="1" si="49">IF(M94&gt;0,N94*100/M94,0)</f>
        <v>76.675431849834737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87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87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55">
        <f t="shared" si="48"/>
        <v>0</v>
      </c>
      <c r="P95" s="155">
        <f t="shared" si="49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2457980</v>
      </c>
      <c r="M96" s="87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1924280</v>
      </c>
      <c r="N96" s="87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1475450</v>
      </c>
      <c r="O96" s="155">
        <f t="shared" ca="1" si="48"/>
        <v>60.026932684562119</v>
      </c>
      <c r="P96" s="155">
        <f t="shared" ca="1" si="49"/>
        <v>76.675431849834737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64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64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1257180</v>
      </c>
      <c r="M98" s="167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723480</v>
      </c>
      <c r="N98" s="168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277055</v>
      </c>
      <c r="O98" s="168">
        <f ca="1">IF(L98&gt;0,N98*100/L98,0)</f>
        <v>22.037814791835697</v>
      </c>
      <c r="P98" s="168">
        <f ca="1">IF(M98&gt;0,N98*100/M98,0)</f>
        <v>38.294769724111241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1257180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1200800</v>
      </c>
      <c r="M102" s="49">
        <f ca="1"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1200800</v>
      </c>
      <c r="N102" s="49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1198395</v>
      </c>
      <c r="O102" s="49">
        <f ca="1">IF(L102&gt;0,N102*100/L102,0)</f>
        <v>99.799716855429708</v>
      </c>
      <c r="P102" s="49">
        <f ca="1">IF(M102&gt;0,N102*100/M102,0)</f>
        <v>99.799716855429708</v>
      </c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10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10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9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03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6</v>
      </c>
      <c r="K108" s="223">
        <f t="shared" ref="K108:K113" ca="1" si="50">IF(I108&gt;0,J108*100/I108,0)</f>
        <v>60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03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23</v>
      </c>
      <c r="K109" s="223">
        <f t="shared" ca="1" si="50"/>
        <v>46.938775510204081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03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49</v>
      </c>
      <c r="K110" s="223">
        <f t="shared" ca="1" si="50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03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20</v>
      </c>
      <c r="K111" s="223">
        <f t="shared" ca="1" si="50"/>
        <v>40.816326530612244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03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0</v>
      </c>
      <c r="K112" s="223">
        <f t="shared" ca="1" si="50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03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7</v>
      </c>
      <c r="K113" s="223">
        <f t="shared" ca="1" si="50"/>
        <v>53.846153846153847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1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210</v>
      </c>
      <c r="K117" s="142">
        <f ca="1">IF(I117&gt;0,J117*100/I117,0)</f>
        <v>105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824400</v>
      </c>
      <c r="M118" s="151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664400</v>
      </c>
      <c r="N118" s="151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535569</v>
      </c>
      <c r="O118" s="150">
        <f t="shared" ref="O118:O120" ca="1" si="51">IF(L118&gt;0,N118*100/L118,0)</f>
        <v>64.964701601164478</v>
      </c>
      <c r="P118" s="150">
        <f t="shared" ref="P118:P120" ca="1" si="52">IF(M118&gt;0,N118*100/M118,0)</f>
        <v>80.609422034918722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87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87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55">
        <f t="shared" si="51"/>
        <v>0</v>
      </c>
      <c r="P119" s="155">
        <f t="shared" si="52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824400</v>
      </c>
      <c r="M120" s="87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664400</v>
      </c>
      <c r="N120" s="87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535569</v>
      </c>
      <c r="O120" s="155">
        <f t="shared" ca="1" si="51"/>
        <v>64.964701601164478</v>
      </c>
      <c r="P120" s="155">
        <f t="shared" ca="1" si="52"/>
        <v>80.609422034918722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64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64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824400</v>
      </c>
      <c r="M122" s="167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664400</v>
      </c>
      <c r="N122" s="168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535569</v>
      </c>
      <c r="O122" s="168">
        <f ca="1">IF(L122&gt;0,N122*100/L122,0)</f>
        <v>64.964701601164478</v>
      </c>
      <c r="P122" s="168">
        <f ca="1">IF(M122&gt;0,N122*100/M122,0)</f>
        <v>80.609422034918722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824400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49"/>
      <c r="N126" s="49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69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9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10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8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03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210</v>
      </c>
      <c r="K132" s="223">
        <f t="shared" ref="K132:K133" ca="1" si="53">IF(I132&gt;0,J132*100/I132,0)</f>
        <v>105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03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136</v>
      </c>
      <c r="K133" s="223">
        <f t="shared" ca="1" si="53"/>
        <v>68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66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440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5884000</v>
      </c>
      <c r="M140" s="151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3582850</v>
      </c>
      <c r="N140" s="151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2877329</v>
      </c>
      <c r="O140" s="150">
        <f t="shared" ref="O140:O142" ca="1" si="54">IF(L140&gt;0,N140*100/L140,0)</f>
        <v>48.900900747790615</v>
      </c>
      <c r="P140" s="150">
        <f t="shared" ref="P140:P142" ca="1" si="55">IF(M140&gt;0,N140*100/M140,0)</f>
        <v>80.308385782268303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87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87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55">
        <f t="shared" si="54"/>
        <v>0</v>
      </c>
      <c r="P141" s="155">
        <f t="shared" si="55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5884000</v>
      </c>
      <c r="M142" s="87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3582850</v>
      </c>
      <c r="N142" s="87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2877329</v>
      </c>
      <c r="O142" s="155">
        <f t="shared" ca="1" si="54"/>
        <v>48.900900747790615</v>
      </c>
      <c r="P142" s="155">
        <f t="shared" ca="1" si="55"/>
        <v>80.308385782268303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64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64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5646000</v>
      </c>
      <c r="M144" s="167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3344850</v>
      </c>
      <c r="N144" s="168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2639329</v>
      </c>
      <c r="O144" s="168">
        <f ca="1">IF(L144&gt;0,N144*100/L144,0)</f>
        <v>46.746882748848741</v>
      </c>
      <c r="P144" s="168">
        <f ca="1">IF(M144&gt;0,N144*100/M144,0)</f>
        <v>78.907245466911817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3413200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49">
        <f ca="1"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238000</v>
      </c>
      <c r="N148" s="49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49">
        <f ca="1">IF(L148&gt;0,N148*100/L148,0)</f>
        <v>100</v>
      </c>
      <c r="P148" s="49">
        <f ca="1">IF(M148&gt;0,N148*100/M148,0)</f>
        <v>100</v>
      </c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74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27</v>
      </c>
      <c r="K149" s="275">
        <f ca="1">IF(I149&gt;0,J149*100/I149,0)</f>
        <v>39.705882352941174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16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13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14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88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27</v>
      </c>
      <c r="K158" s="163">
        <f ca="1">IF(I158&gt;0,J158*100/I158,0)</f>
        <v>39.705882352941174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1071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1069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82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29</v>
      </c>
      <c r="K164" s="283">
        <f ca="1">IF(I164&gt;0,J164*100/I164,0)</f>
        <v>55.769230769230766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17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14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12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88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29</v>
      </c>
      <c r="K173" s="163">
        <f ca="1">IF(I173&gt;0,J173*100/I173,0)</f>
        <v>55.769230769230766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82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3</v>
      </c>
      <c r="K176" s="283">
        <f ca="1">IF(I176&gt;0,J176*100/I176,0)</f>
        <v>75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3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2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2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03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2</v>
      </c>
      <c r="K185" s="223">
        <f t="shared" ref="K185:K186" ca="1" si="56">IF(I185&gt;0,J185*100/I185,0)</f>
        <v>50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03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3</v>
      </c>
      <c r="K186" s="223">
        <f t="shared" ca="1" si="56"/>
        <v>75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82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3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14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11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9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88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614000</v>
      </c>
      <c r="K199" s="163">
        <f t="shared" ref="K199:K201" ca="1" si="57">IF(I199&gt;0,J199*100/I199,0)</f>
        <v>50.16339869281046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88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0</v>
      </c>
      <c r="K200" s="163">
        <f t="shared" ca="1" si="57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88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63">
        <f t="shared" ca="1" si="57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82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380</v>
      </c>
      <c r="K204" s="283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4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03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380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87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03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0</v>
      </c>
      <c r="K215" s="223">
        <f t="shared" ref="K215:K216" ca="1" si="58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03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0</v>
      </c>
      <c r="K216" s="223">
        <f t="shared" ca="1" si="58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66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332510</v>
      </c>
      <c r="M220" s="151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332510</v>
      </c>
      <c r="N220" s="151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305926</v>
      </c>
      <c r="O220" s="150">
        <f t="shared" ref="O220:O222" ca="1" si="59">IF(L220&gt;0,N220*100/L220,0)</f>
        <v>92.005052479624666</v>
      </c>
      <c r="P220" s="150">
        <f t="shared" ref="P220:P222" ca="1" si="60">IF(M220&gt;0,N220*100/M220,0)</f>
        <v>92.005052479624666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87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87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55">
        <f t="shared" si="59"/>
        <v>0</v>
      </c>
      <c r="P221" s="155">
        <f t="shared" si="60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332510</v>
      </c>
      <c r="M222" s="87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332510</v>
      </c>
      <c r="N222" s="87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305926</v>
      </c>
      <c r="O222" s="155">
        <f t="shared" ca="1" si="59"/>
        <v>92.005052479624666</v>
      </c>
      <c r="P222" s="155">
        <f t="shared" ca="1" si="60"/>
        <v>92.005052479624666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64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64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332510</v>
      </c>
      <c r="M224" s="167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332510</v>
      </c>
      <c r="N224" s="168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305926</v>
      </c>
      <c r="O224" s="168">
        <f ca="1">IF(L224&gt;0,N224*100/L224,0)</f>
        <v>92.005052479624666</v>
      </c>
      <c r="P224" s="168">
        <f ca="1">IF(M224&gt;0,N224*100/M224,0)</f>
        <v>92.005052479624666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332510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49"/>
      <c r="N228" s="49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66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12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12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12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88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5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4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66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87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14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140</v>
      </c>
      <c r="K249" s="315">
        <f ca="1">IF(I249&gt;0,J249*100/I249,0)</f>
        <v>77.777777777777771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1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570000</v>
      </c>
      <c r="N250" s="151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465449</v>
      </c>
      <c r="O250" s="150">
        <f t="shared" ref="O250:O252" ca="1" si="61">IF(L250&gt;0,N250*100/L250,0)</f>
        <v>41.336500888099465</v>
      </c>
      <c r="P250" s="150">
        <f t="shared" ref="P250:P252" ca="1" si="62">IF(M250&gt;0,N250*100/M250,0)</f>
        <v>81.65771929824561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87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87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55">
        <f t="shared" si="61"/>
        <v>0</v>
      </c>
      <c r="P251" s="155">
        <f t="shared" si="62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87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570000</v>
      </c>
      <c r="N252" s="87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465449</v>
      </c>
      <c r="O252" s="155">
        <f t="shared" ca="1" si="61"/>
        <v>41.336500888099465</v>
      </c>
      <c r="P252" s="155">
        <f t="shared" ca="1" si="62"/>
        <v>81.65771929824561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64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64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67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570000</v>
      </c>
      <c r="N254" s="168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465449</v>
      </c>
      <c r="O254" s="168">
        <f ca="1">IF(L254&gt;0,N254*100/L254,0)</f>
        <v>41.336500888099465</v>
      </c>
      <c r="P254" s="168">
        <f ca="1">IF(M254&gt;0,N254*100/M254,0)</f>
        <v>81.65771929824561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49"/>
      <c r="N258" s="49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8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7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7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88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8</v>
      </c>
      <c r="K264" s="163">
        <f t="shared" ref="K264:K267" ca="1" si="63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88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140</v>
      </c>
      <c r="K265" s="163">
        <f t="shared" ca="1" si="63"/>
        <v>77.777777777777771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88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25</v>
      </c>
      <c r="K266" s="163">
        <f t="shared" ca="1" si="63"/>
        <v>13.888888888888889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88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6</v>
      </c>
      <c r="K267" s="163">
        <f t="shared" ca="1" si="63"/>
        <v>75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14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240</v>
      </c>
      <c r="K270" s="315">
        <f ca="1">IF(I270&gt;0,J270*100/I270,0)</f>
        <v>94.117647058823536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2476100</v>
      </c>
      <c r="M271" s="151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1339500</v>
      </c>
      <c r="N271" s="151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1052444</v>
      </c>
      <c r="O271" s="150">
        <f t="shared" ref="O271:O273" ca="1" si="64">IF(L271&gt;0,N271*100/L271,0)</f>
        <v>42.504099188239572</v>
      </c>
      <c r="P271" s="150">
        <f t="shared" ref="P271:P273" ca="1" si="65">IF(M271&gt;0,N271*100/M271,0)</f>
        <v>78.569914147069795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87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87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55">
        <f t="shared" si="64"/>
        <v>0</v>
      </c>
      <c r="P272" s="155">
        <f t="shared" si="6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2476100</v>
      </c>
      <c r="M273" s="87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1339500</v>
      </c>
      <c r="N273" s="87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1052444</v>
      </c>
      <c r="O273" s="155">
        <f t="shared" ca="1" si="64"/>
        <v>42.504099188239572</v>
      </c>
      <c r="P273" s="155">
        <f t="shared" ca="1" si="65"/>
        <v>78.569914147069795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64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64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2476100</v>
      </c>
      <c r="M275" s="167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1339500</v>
      </c>
      <c r="N275" s="168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1052444</v>
      </c>
      <c r="O275" s="168">
        <f ca="1">IF(L275&gt;0,N275*100/L275,0)</f>
        <v>42.504099188239572</v>
      </c>
      <c r="P275" s="168">
        <f ca="1">IF(M275&gt;0,N275*100/M275,0)</f>
        <v>78.569914147069795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1420100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49"/>
      <c r="N279" s="49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15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14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13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88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240</v>
      </c>
      <c r="K285" s="163">
        <f ca="1">IF(I285&gt;0,J285*100/I285,0)</f>
        <v>94.117647058823536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14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120760</v>
      </c>
      <c r="M290" s="151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120760</v>
      </c>
      <c r="N290" s="151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18360</v>
      </c>
      <c r="O290" s="150">
        <f t="shared" ref="O290:O292" ca="1" si="66">IF(L290&gt;0,N290*100/L290,0)</f>
        <v>15.203709837694602</v>
      </c>
      <c r="P290" s="150">
        <f t="shared" ref="P290:P292" ca="1" si="67">IF(M290&gt;0,N290*100/M290,0)</f>
        <v>15.203709837694602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87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87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55">
        <f t="shared" si="66"/>
        <v>0</v>
      </c>
      <c r="P291" s="155">
        <f t="shared" si="67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120760</v>
      </c>
      <c r="M292" s="87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120760</v>
      </c>
      <c r="N292" s="87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18360</v>
      </c>
      <c r="O292" s="155">
        <f t="shared" ca="1" si="66"/>
        <v>15.203709837694602</v>
      </c>
      <c r="P292" s="155">
        <f t="shared" ca="1" si="67"/>
        <v>15.203709837694602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64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64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120760</v>
      </c>
      <c r="M294" s="167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120760</v>
      </c>
      <c r="N294" s="168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18360</v>
      </c>
      <c r="O294" s="168">
        <f ca="1">IF(L294&gt;0,N294*100/L294,0)</f>
        <v>15.203709837694602</v>
      </c>
      <c r="P294" s="168">
        <f ca="1">IF(M294&gt;0,N294*100/M294,0)</f>
        <v>15.203709837694602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120760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49"/>
      <c r="N298" s="49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03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03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IFERROR(__xludf.DUMMYFUNCTION("IMPORTRANGE(""https://docs.google.com/spreadsheets/d/1SX6NBoVAgQJ6U1MVXOaj8PK2l7WJ3RER9xtqwdhxkhw/edit?usp=sharing"",""กาญจนบุรี!J212"")"),0)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31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3</v>
      </c>
      <c r="K309" s="332">
        <f ca="1">IF(I309&gt;0,J309*100/I309,0)</f>
        <v>37.5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772800</v>
      </c>
      <c r="M310" s="151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506400</v>
      </c>
      <c r="N310" s="151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261982</v>
      </c>
      <c r="O310" s="150">
        <f t="shared" ref="O310:O312" ca="1" si="68">IF(L310&gt;0,N310*100/L310,0)</f>
        <v>33.900362318840578</v>
      </c>
      <c r="P310" s="150">
        <f t="shared" ref="P310:P312" ca="1" si="69">IF(M310&gt;0,N310*100/M310,0)</f>
        <v>51.734202211690366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87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87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55">
        <f t="shared" si="68"/>
        <v>0</v>
      </c>
      <c r="P311" s="155">
        <f t="shared" si="69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772800</v>
      </c>
      <c r="M312" s="87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506400</v>
      </c>
      <c r="N312" s="87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261982</v>
      </c>
      <c r="O312" s="155">
        <f t="shared" ca="1" si="68"/>
        <v>33.900362318840578</v>
      </c>
      <c r="P312" s="155">
        <f t="shared" ca="1" si="69"/>
        <v>51.734202211690366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64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64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772800</v>
      </c>
      <c r="M314" s="167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506400</v>
      </c>
      <c r="N314" s="168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261982</v>
      </c>
      <c r="O314" s="168">
        <f ca="1">IF(L314&gt;0,N314*100/L314,0)</f>
        <v>33.900362318840578</v>
      </c>
      <c r="P314" s="168">
        <f ca="1">IF(M314&gt;0,N314*100/M314,0)</f>
        <v>51.734202211690366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772800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49"/>
      <c r="N318" s="49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3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2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3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03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3</v>
      </c>
      <c r="K324" s="223">
        <f ca="1">IF(I324&gt;0,J324*100/I324,0)</f>
        <v>37.5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6310</v>
      </c>
      <c r="J328" s="337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1439</v>
      </c>
      <c r="K328" s="315">
        <f ca="1">IF(I328&gt;0,J328*100/I328,0)</f>
        <v>22.805071315372423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17641110</v>
      </c>
      <c r="M329" s="151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9926210</v>
      </c>
      <c r="N329" s="151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8074362</v>
      </c>
      <c r="O329" s="150">
        <f t="shared" ref="O329:O331" ca="1" si="70">IF(L329&gt;0,N329*100/L329,0)</f>
        <v>45.770147116593002</v>
      </c>
      <c r="P329" s="150">
        <f t="shared" ref="P329:P331" ca="1" si="71">IF(M329&gt;0,N329*100/M329,0)</f>
        <v>81.343856315753953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87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87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55">
        <f t="shared" si="70"/>
        <v>0</v>
      </c>
      <c r="P330" s="155">
        <f t="shared" si="71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17641110</v>
      </c>
      <c r="M331" s="87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9926210</v>
      </c>
      <c r="N331" s="87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8074362</v>
      </c>
      <c r="O331" s="155">
        <f t="shared" ca="1" si="70"/>
        <v>45.770147116593002</v>
      </c>
      <c r="P331" s="155">
        <f t="shared" ca="1" si="71"/>
        <v>81.343856315753953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64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64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16835290</v>
      </c>
      <c r="M333" s="167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9120390</v>
      </c>
      <c r="N333" s="168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7268542</v>
      </c>
      <c r="O333" s="168">
        <f ca="1">IF(L333&gt;0,N333*100/L333,0)</f>
        <v>43.174438931553894</v>
      </c>
      <c r="P333" s="168">
        <f ca="1">IF(M333&gt;0,N333*100/M333,0)</f>
        <v>79.695517406602136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8201990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805820</v>
      </c>
      <c r="M337" s="49">
        <f ca="1">L337</f>
        <v>805820</v>
      </c>
      <c r="N337" s="49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87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1994</v>
      </c>
      <c r="K339" s="340">
        <f t="shared" ref="K339:K346" ca="1" si="72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41170</v>
      </c>
      <c r="J340" s="187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14937.469999999987</v>
      </c>
      <c r="K340" s="340">
        <f t="shared" ca="1" si="72"/>
        <v>36.282414379402447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6310</v>
      </c>
      <c r="J341" s="187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2520</v>
      </c>
      <c r="K341" s="340">
        <f t="shared" ca="1" si="72"/>
        <v>39.936608557844693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87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23004.60999999999</v>
      </c>
      <c r="K342" s="340">
        <f t="shared" ca="1" si="72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6310</v>
      </c>
      <c r="J343" s="187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72</v>
      </c>
      <c r="K343" s="340">
        <f t="shared" ca="1" si="72"/>
        <v>1.1410459587955626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87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717.96</v>
      </c>
      <c r="K344" s="340">
        <f t="shared" ca="1" si="72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6310</v>
      </c>
      <c r="J345" s="187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1439</v>
      </c>
      <c r="K345" s="340">
        <f t="shared" ca="1" si="72"/>
        <v>22.805071315372423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87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12313.819999999991</v>
      </c>
      <c r="K346" s="349">
        <f t="shared" ca="1" si="72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39883784</v>
      </c>
      <c r="M347" s="356"/>
      <c r="N347" s="356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9434341.0300000012</v>
      </c>
      <c r="O347" s="356">
        <f ca="1">+IF(L347&gt;0,N347*100/L347,0)</f>
        <v>23.6545785876285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69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510</v>
      </c>
      <c r="K349" s="370">
        <f t="shared" ref="K349:K350" ca="1" si="73">IF(I349&gt;0,J349*100/I349,0)</f>
        <v>27.567567567567568</v>
      </c>
      <c r="L349" s="371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5304900</v>
      </c>
      <c r="M349" s="371"/>
      <c r="N349" s="371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1963051.0599999991</v>
      </c>
      <c r="O349" s="371">
        <f ca="1">+IF(L349&gt;0,N349*100/L349,0)</f>
        <v>37.004487549246903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69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435</v>
      </c>
      <c r="K350" s="370">
        <f t="shared" ca="1" si="73"/>
        <v>55.063291139240505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64"/>
      <c r="N351" s="164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5304900</v>
      </c>
      <c r="M352" s="165"/>
      <c r="N352" s="164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1963051.0599999991</v>
      </c>
      <c r="O352" s="165">
        <f t="shared" ca="1" si="74"/>
        <v>37.004487549246903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68"/>
      <c r="N353" s="168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68">
        <f t="shared" ca="1" si="74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5304900</v>
      </c>
      <c r="M354" s="168"/>
      <c r="N354" s="167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1963051.0599999991</v>
      </c>
      <c r="O354" s="168">
        <f t="shared" ca="1" si="74"/>
        <v>37.004487549246903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711581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456400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645237.06000000006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149833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14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14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14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63">
        <f t="shared" ref="K367:K373" ca="1" si="75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87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435</v>
      </c>
      <c r="K368" s="163">
        <f t="shared" ca="1" si="75"/>
        <v>55.063291139240505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03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63">
        <f t="shared" ca="1" si="75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03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614</v>
      </c>
      <c r="K370" s="163">
        <f t="shared" ca="1" si="75"/>
        <v>77.721518987341767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88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63">
        <f t="shared" ca="1" si="75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88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435</v>
      </c>
      <c r="K372" s="163">
        <f t="shared" ca="1" si="75"/>
        <v>55.063291139240505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03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63">
        <f t="shared" ca="1" si="75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87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87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510</v>
      </c>
      <c r="K375" s="163">
        <f t="shared" ref="K375:K377" ca="1" si="76">IF(I375&gt;0,J375*100/I375,0)</f>
        <v>27.567567567567568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88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270</v>
      </c>
      <c r="K376" s="163">
        <f t="shared" ca="1" si="76"/>
        <v>35.15625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03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240</v>
      </c>
      <c r="K377" s="163">
        <f t="shared" ca="1" si="76"/>
        <v>22.181146025878004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69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1500</v>
      </c>
      <c r="K380" s="370">
        <f t="shared" ref="K380:K381" ca="1" si="77">IF(I380&gt;0,J380*100/I380,0)</f>
        <v>11.111111111111111</v>
      </c>
      <c r="L380" s="371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71"/>
      <c r="N380" s="371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2237864.37</v>
      </c>
      <c r="O380" s="371">
        <f ca="1">+IF(L380&gt;0,N380*100/L380,0)</f>
        <v>16.210182828334045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69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985</v>
      </c>
      <c r="K381" s="370">
        <f t="shared" ca="1" si="77"/>
        <v>72.962962962962962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64"/>
      <c r="N382" s="164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65"/>
      <c r="N383" s="165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2237864.37</v>
      </c>
      <c r="O383" s="165">
        <f t="shared" ca="1" si="78"/>
        <v>16.210182828334045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68"/>
      <c r="N384" s="168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68">
        <f t="shared" ca="1" si="78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68"/>
      <c r="N385" s="167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2237864.37</v>
      </c>
      <c r="O385" s="168">
        <f t="shared" ca="1" si="78"/>
        <v>16.210182828334045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1219342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312500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571088.37000000011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134934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17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16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15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197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985</v>
      </c>
      <c r="K396" s="163">
        <f t="shared" ref="K396:K398" ca="1" si="79">IF(I396&gt;0,J396*100/I396,0)</f>
        <v>72.962962962962962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197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1500</v>
      </c>
      <c r="K397" s="163">
        <f t="shared" ca="1" si="79"/>
        <v>11.111111111111111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197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50</v>
      </c>
      <c r="K398" s="163">
        <f t="shared" ca="1" si="79"/>
        <v>3.7037037037037037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69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1530</v>
      </c>
      <c r="K401" s="370">
        <f t="shared" ref="K401:K402" ca="1" si="80">IF(I401&gt;0,J401*100/I401,0)</f>
        <v>53.291536050156736</v>
      </c>
      <c r="L401" s="371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71"/>
      <c r="N401" s="371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1381515</v>
      </c>
      <c r="O401" s="371">
        <f ca="1">+IF(L401&gt;0,N401*100/L401,0)</f>
        <v>42.817493770377993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69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526</v>
      </c>
      <c r="K402" s="370">
        <f t="shared" ca="1" si="80"/>
        <v>54.963427377220484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64"/>
      <c r="N403" s="168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68">
        <f t="shared" ref="O403:O406" ca="1" si="81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65"/>
      <c r="N404" s="168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1381515</v>
      </c>
      <c r="O404" s="168">
        <f t="shared" ca="1" si="81"/>
        <v>42.817493770377993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68"/>
      <c r="N405" s="168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68">
        <f t="shared" ca="1" si="81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68"/>
      <c r="N406" s="168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1381515</v>
      </c>
      <c r="O406" s="168">
        <f t="shared" ca="1" si="81"/>
        <v>42.817493770377993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1151331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96975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133209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17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16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13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00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526</v>
      </c>
      <c r="K416" s="201">
        <f t="shared" ref="K416:K432" ca="1" si="82">IF(I416&gt;0,J416*100/I416,0)</f>
        <v>54.963427377220484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390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135</v>
      </c>
      <c r="K417" s="201">
        <f t="shared" ca="1" si="82"/>
        <v>67.5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391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345</v>
      </c>
      <c r="K418" s="201">
        <f t="shared" ca="1" si="82"/>
        <v>57.5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392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155</v>
      </c>
      <c r="K419" s="163">
        <f t="shared" ca="1" si="82"/>
        <v>77.5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392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180</v>
      </c>
      <c r="K420" s="286">
        <f t="shared" ca="1" si="82"/>
        <v>90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390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329</v>
      </c>
      <c r="K421" s="201">
        <f t="shared" ca="1" si="82"/>
        <v>57.31707317073171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391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981</v>
      </c>
      <c r="K422" s="201">
        <f t="shared" ca="1" si="82"/>
        <v>56.968641114982582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392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468</v>
      </c>
      <c r="K423" s="163">
        <f t="shared" ca="1" si="82"/>
        <v>81.533101045296164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392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329</v>
      </c>
      <c r="K424" s="163">
        <f t="shared" ca="1" si="82"/>
        <v>57.31707317073171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392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329</v>
      </c>
      <c r="K425" s="163">
        <f t="shared" ca="1" si="82"/>
        <v>57.31707317073171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390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62</v>
      </c>
      <c r="K426" s="201">
        <f t="shared" ca="1" si="82"/>
        <v>33.879781420765028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391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204</v>
      </c>
      <c r="K427" s="201">
        <f t="shared" ca="1" si="82"/>
        <v>37.158469945355193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392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82</v>
      </c>
      <c r="K428" s="163">
        <f t="shared" ca="1" si="82"/>
        <v>44.808743169398909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392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78</v>
      </c>
      <c r="K429" s="163">
        <f t="shared" ca="1" si="82"/>
        <v>42.622950819672134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390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35</v>
      </c>
      <c r="K430" s="201">
        <f t="shared" ca="1" si="82"/>
        <v>4.521963824289406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392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10</v>
      </c>
      <c r="K431" s="163">
        <f t="shared" ca="1" si="82"/>
        <v>5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392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100</v>
      </c>
      <c r="K432" s="163">
        <f t="shared" ca="1" si="82"/>
        <v>17.421602787456447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08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439</v>
      </c>
      <c r="K435" s="409">
        <f ca="1">IF(I435&gt;0,J435*100/I435,0)</f>
        <v>89.77505112474438</v>
      </c>
      <c r="L435" s="410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2087200</v>
      </c>
      <c r="M435" s="410"/>
      <c r="N435" s="410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978350.69000000006</v>
      </c>
      <c r="O435" s="410">
        <f t="shared" ref="O435:O439" ca="1" si="83">+IF(L435&gt;0,N435*100/L435,0)</f>
        <v>46.873835281717135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64"/>
      <c r="N436" s="168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68">
        <f t="shared" ca="1" si="83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2087200</v>
      </c>
      <c r="M437" s="165"/>
      <c r="N437" s="168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978350.69000000006</v>
      </c>
      <c r="O437" s="168">
        <f t="shared" ca="1" si="83"/>
        <v>46.873835281717135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68"/>
      <c r="N438" s="168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68">
        <f t="shared" ca="1" si="83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2087200</v>
      </c>
      <c r="M439" s="168"/>
      <c r="N439" s="168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978350.69000000006</v>
      </c>
      <c r="O439" s="168">
        <f t="shared" ca="1" si="83"/>
        <v>46.873835281717135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796144.9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182205.79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16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17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16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00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439</v>
      </c>
      <c r="K449" s="163">
        <f t="shared" ref="K449:K452" ca="1" si="84">IF(I449&gt;0,J449*100/I449,0)</f>
        <v>89.77505112474438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88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350</v>
      </c>
      <c r="K450" s="163">
        <f t="shared" ca="1" si="84"/>
        <v>97.222222222222229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87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89</v>
      </c>
      <c r="K451" s="163">
        <f t="shared" ca="1" si="84"/>
        <v>68.992248062015506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187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63">
        <f t="shared" ca="1" si="84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799598</v>
      </c>
      <c r="J455" s="369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13987</v>
      </c>
      <c r="K455" s="370">
        <f ca="1">IF(I455&gt;0,J455*100/I455,0)</f>
        <v>1.7492540001350678</v>
      </c>
      <c r="L455" s="371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7607158</v>
      </c>
      <c r="M455" s="371"/>
      <c r="N455" s="371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1194161.3500000001</v>
      </c>
      <c r="O455" s="371">
        <f t="shared" ref="O455:O459" ca="1" si="85">+IF(L455&gt;0,N455*100/L455,0)</f>
        <v>15.697864432420099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64"/>
      <c r="N456" s="168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68">
        <f t="shared" ca="1" si="85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7607158</v>
      </c>
      <c r="M457" s="165"/>
      <c r="N457" s="168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1194161.3500000001</v>
      </c>
      <c r="O457" s="168">
        <f t="shared" ca="1" si="85"/>
        <v>15.697864432420099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68"/>
      <c r="N458" s="168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68">
        <f t="shared" ca="1" si="85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7607158</v>
      </c>
      <c r="M459" s="168"/>
      <c r="N459" s="168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1194161.3500000001</v>
      </c>
      <c r="O459" s="168">
        <f t="shared" ca="1" si="85"/>
        <v>15.697864432420099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437941.35000000003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756220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799598</v>
      </c>
      <c r="J464" s="266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13987</v>
      </c>
      <c r="K464" s="267">
        <f t="shared" ref="K464:K515" ca="1" si="86">IF(I464&gt;0,J464*100/I464,0)</f>
        <v>1.7492540001350678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799598</v>
      </c>
      <c r="J465" s="418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659869.46999999974</v>
      </c>
      <c r="K465" s="201">
        <f t="shared" ca="1" si="86"/>
        <v>82.525152639201167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95173</v>
      </c>
      <c r="J466" s="418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78876</v>
      </c>
      <c r="K466" s="201">
        <f t="shared" ca="1" si="86"/>
        <v>82.876446050875771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88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510806.86000000004</v>
      </c>
      <c r="K467" s="163">
        <f t="shared" ca="1" si="86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88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65020</v>
      </c>
      <c r="K468" s="163">
        <f t="shared" ca="1" si="86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88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135201.18</v>
      </c>
      <c r="K469" s="163">
        <f t="shared" ca="1" si="86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88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12263</v>
      </c>
      <c r="K470" s="163">
        <f t="shared" ca="1" si="86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88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13861.43</v>
      </c>
      <c r="K471" s="163">
        <f t="shared" ca="1" si="86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88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1593</v>
      </c>
      <c r="K472" s="163">
        <f t="shared" ca="1" si="86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799598</v>
      </c>
      <c r="J473" s="418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79842.339999999895</v>
      </c>
      <c r="K473" s="201">
        <f t="shared" ca="1" si="86"/>
        <v>9.9853101183344499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95173</v>
      </c>
      <c r="J474" s="418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8747</v>
      </c>
      <c r="K474" s="163">
        <f t="shared" ca="1" si="86"/>
        <v>9.1906317968331361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88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49911.76</v>
      </c>
      <c r="K475" s="163">
        <f t="shared" ca="1" si="86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88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5830</v>
      </c>
      <c r="K476" s="163">
        <f t="shared" ca="1" si="86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88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27964.23</v>
      </c>
      <c r="K477" s="163">
        <f t="shared" ca="1" si="86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88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2766</v>
      </c>
      <c r="K478" s="163">
        <f t="shared" ca="1" si="86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88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1966.35</v>
      </c>
      <c r="K479" s="163">
        <f t="shared" ca="1" si="86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88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151</v>
      </c>
      <c r="K480" s="163">
        <f t="shared" ca="1" si="86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799598</v>
      </c>
      <c r="J481" s="418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13987</v>
      </c>
      <c r="K481" s="201">
        <f t="shared" ca="1" si="86"/>
        <v>1.7492540001350678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95173</v>
      </c>
      <c r="J482" s="418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3527</v>
      </c>
      <c r="K482" s="163">
        <f t="shared" ca="1" si="86"/>
        <v>3.705882971010686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8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13956</v>
      </c>
      <c r="K483" s="163">
        <f t="shared" ca="1" si="86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8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3515</v>
      </c>
      <c r="K484" s="163">
        <f t="shared" ca="1" si="86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8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13</v>
      </c>
      <c r="K485" s="163">
        <f t="shared" ca="1" si="86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8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8</v>
      </c>
      <c r="K486" s="163">
        <f t="shared" ca="1" si="86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18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18</v>
      </c>
      <c r="K487" s="163">
        <f t="shared" ca="1" si="86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18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4</v>
      </c>
      <c r="K488" s="163">
        <f t="shared" ca="1" si="86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88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18</v>
      </c>
      <c r="K489" s="163">
        <f t="shared" ca="1" si="86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88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4</v>
      </c>
      <c r="K490" s="163">
        <f t="shared" ca="1" si="86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88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0</v>
      </c>
      <c r="K491" s="163">
        <f t="shared" ca="1" si="86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88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0</v>
      </c>
      <c r="K492" s="163">
        <f t="shared" ca="1" si="86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88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0</v>
      </c>
      <c r="K493" s="163">
        <f t="shared" ca="1" si="86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34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0</v>
      </c>
      <c r="K494" s="286">
        <f t="shared" ca="1" si="86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34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0</v>
      </c>
      <c r="K495" s="163">
        <f t="shared" ca="1" si="86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34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0</v>
      </c>
      <c r="K496" s="286">
        <f t="shared" ca="1" si="86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45848</v>
      </c>
      <c r="J497" s="441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5102.1000000000004</v>
      </c>
      <c r="K497" s="442">
        <f t="shared" ca="1" si="86"/>
        <v>11.128293491537255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45848</v>
      </c>
      <c r="J498" s="418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5102.1000000000004</v>
      </c>
      <c r="K498" s="163">
        <f t="shared" ca="1" si="86"/>
        <v>11.128293491537255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3736</v>
      </c>
      <c r="J499" s="418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537</v>
      </c>
      <c r="K499" s="201">
        <f t="shared" ca="1" si="86"/>
        <v>14.373661670235546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62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4650</v>
      </c>
      <c r="K500" s="163">
        <f t="shared" ca="1" si="86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62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481</v>
      </c>
      <c r="K501" s="163">
        <f t="shared" ca="1" si="86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88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3209</v>
      </c>
      <c r="K502" s="163">
        <f t="shared" ca="1" si="86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197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315</v>
      </c>
      <c r="K503" s="163">
        <f t="shared" ca="1" si="86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88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1415</v>
      </c>
      <c r="K504" s="163">
        <f t="shared" ca="1" si="86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197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165</v>
      </c>
      <c r="K505" s="163">
        <f t="shared" ca="1" si="86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88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26</v>
      </c>
      <c r="K506" s="163">
        <f t="shared" ca="1" si="86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197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1</v>
      </c>
      <c r="K507" s="163">
        <f t="shared" ca="1" si="86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62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203.1</v>
      </c>
      <c r="K508" s="163">
        <f t="shared" ca="1" si="86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62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33</v>
      </c>
      <c r="K509" s="163">
        <f t="shared" ca="1" si="86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197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185.1</v>
      </c>
      <c r="K510" s="163">
        <f t="shared" ca="1" si="86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197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25</v>
      </c>
      <c r="K511" s="163">
        <f t="shared" ca="1" si="86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197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18</v>
      </c>
      <c r="K512" s="163">
        <f t="shared" ca="1" si="86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197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8</v>
      </c>
      <c r="K513" s="163">
        <f t="shared" ca="1" si="86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197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249</v>
      </c>
      <c r="K514" s="163">
        <f t="shared" ca="1" si="86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197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23</v>
      </c>
      <c r="K515" s="163">
        <f t="shared" ca="1" si="86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66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843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82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82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87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87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87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87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87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3700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87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294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3700</v>
      </c>
      <c r="J525" s="282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134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294</v>
      </c>
      <c r="J526" s="282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18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197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100.75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197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13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197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33.25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197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5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197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64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08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09">
        <f ca="1">IF(I533&gt;0,J533*100/I533,0)</f>
        <v>100</v>
      </c>
      <c r="L533" s="410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595700</v>
      </c>
      <c r="M533" s="410"/>
      <c r="N533" s="410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394249.23999999987</v>
      </c>
      <c r="O533" s="410">
        <f t="shared" ref="O533:O537" ca="1" si="87">+IF(L533&gt;0,N533*100/L533,0)</f>
        <v>66.182514688601614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64"/>
      <c r="N534" s="168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68">
        <f t="shared" ca="1" si="87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595700</v>
      </c>
      <c r="M535" s="165"/>
      <c r="N535" s="168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394249.23999999987</v>
      </c>
      <c r="O535" s="168">
        <f t="shared" ca="1" si="87"/>
        <v>66.182514688601614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68"/>
      <c r="N536" s="168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68">
        <f t="shared" ca="1" si="87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595700</v>
      </c>
      <c r="M537" s="168"/>
      <c r="N537" s="168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394249.23999999987</v>
      </c>
      <c r="O537" s="168">
        <f t="shared" ca="1" si="87"/>
        <v>66.182514688601614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326374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67875.239999999991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17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17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17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88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63">
        <f t="shared" ref="K547:K548" ca="1" si="88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63">
        <f t="shared" ca="1" si="88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2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08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6204</v>
      </c>
      <c r="K551" s="409">
        <f ca="1">IF(I551&gt;0,J551*100/I551,0)</f>
        <v>24.815999999999999</v>
      </c>
      <c r="L551" s="410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10"/>
      <c r="N551" s="410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227735.02</v>
      </c>
      <c r="O551" s="410">
        <f t="shared" ref="O551:O555" ca="1" si="89">+IF(L551&gt;0,N551*100/L551,0)</f>
        <v>14.884641830065359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64"/>
      <c r="N552" s="168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68">
        <f t="shared" ca="1" si="89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65"/>
      <c r="N553" s="168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227735.02</v>
      </c>
      <c r="O553" s="168">
        <f t="shared" ca="1" si="89"/>
        <v>14.884641830065359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68"/>
      <c r="N554" s="168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68">
        <f t="shared" ca="1" si="89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68"/>
      <c r="N555" s="168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227735.02</v>
      </c>
      <c r="O555" s="168">
        <f t="shared" ca="1" si="89"/>
        <v>14.884641830065359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81602.760000000009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146132.26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62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6204</v>
      </c>
      <c r="K560" s="223">
        <f ca="1">กำแพงเพชร!K560+เชียงราย!K560+เชียงใหม่!K560+ตาก!K560+นครสวรรค์!K560+น่าน!K560+พะเยา!K560+พิจิตร!K560+พิษณุโลก!K560+เพชรบูรณ์!K560+แพร่!K560+แม่ฮ่องสอน!K560+ลำปาง!K560+ลำพูน!K560+สุโขทัย!K560+อุตรดิตถ์!K560+อุทัยธานี!K560</f>
        <v>117.64888888888889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03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693</v>
      </c>
      <c r="K561" s="223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 t="str">
        <f ca="1">IFERROR(__xludf.DUMMYFUNCTION("IMPORTRANGE(""https://docs.google.com/spreadsheets/d/1SX6NBoVAgQJ6U1MVXOaj8PK2l7WJ3RER9xtqwdhxkhw/edit?usp=sharing"",""กาญจนบุรี!I457"")"),"")</f>
        <v/>
      </c>
      <c r="J562" s="203" t="str">
        <f ca="1">IFERROR(__xludf.DUMMYFUNCTION("IMPORTRANGE(""https://docs.google.com/spreadsheets/d/1SX6NBoVAgQJ6U1MVXOaj8PK2l7WJ3RER9xtqwdhxkhw/edit?usp=sharing"",""กาญจนบุรี!J457"")"),"")</f>
        <v/>
      </c>
      <c r="K562" s="163"/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 t="str">
        <f ca="1">IFERROR(__xludf.DUMMYFUNCTION("IMPORTRANGE(""https://docs.google.com/spreadsheets/d/1SX6NBoVAgQJ6U1MVXOaj8PK2l7WJ3RER9xtqwdhxkhw/edit?usp=sharing"",""กาญจนบุรี!I458"")"),"")</f>
        <v/>
      </c>
      <c r="J563" s="187" t="str">
        <f ca="1">IFERROR(__xludf.DUMMYFUNCTION("IMPORTRANGE(""https://docs.google.com/spreadsheets/d/1SX6NBoVAgQJ6U1MVXOaj8PK2l7WJ3RER9xtqwdhxkhw/edit?usp=sharing"",""กาญจนบุรี!J458"")"),"")</f>
        <v/>
      </c>
      <c r="K563" s="163"/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69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25570</v>
      </c>
      <c r="K564" s="370">
        <f ca="1">IF(I564&gt;0,J564*100/I564,0)</f>
        <v>78.556067588325647</v>
      </c>
      <c r="L564" s="371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71"/>
      <c r="N564" s="371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676924.6599999998</v>
      </c>
      <c r="O564" s="371">
        <f t="shared" ref="O564:O568" ca="1" si="90">+IF(L564&gt;0,N564*100/L564,0)</f>
        <v>28.41642291029989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64"/>
      <c r="N565" s="168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68">
        <f t="shared" ca="1" si="90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65"/>
      <c r="N566" s="168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676924.6599999998</v>
      </c>
      <c r="O566" s="168">
        <f t="shared" ca="1" si="90"/>
        <v>28.41642291029989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68"/>
      <c r="N567" s="168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68">
        <f t="shared" ca="1" si="90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68"/>
      <c r="N568" s="168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676924.6599999998</v>
      </c>
      <c r="O568" s="168">
        <f t="shared" ca="1" si="90"/>
        <v>28.41642291029989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491672.2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185252.46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18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25570</v>
      </c>
      <c r="K573" s="201">
        <f ca="1">IF(I573&gt;0,J573*100/I573,0)</f>
        <v>78.556067588325647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7</v>
      </c>
      <c r="J575" s="197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50</v>
      </c>
      <c r="K575" s="163">
        <f t="shared" ref="K575:K579" ca="1" si="91">IF(I575&gt;0,J575*100/I575,0)</f>
        <v>714.28571428571433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197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2876</v>
      </c>
      <c r="K576" s="163">
        <f t="shared" ca="1" si="91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88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22119</v>
      </c>
      <c r="K577" s="163">
        <f t="shared" ca="1" si="91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197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36</v>
      </c>
      <c r="K578" s="163">
        <f t="shared" ca="1" si="91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197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539</v>
      </c>
      <c r="K579" s="163">
        <f t="shared" ca="1" si="91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1696</v>
      </c>
      <c r="J580" s="369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64</v>
      </c>
      <c r="K580" s="370">
        <f ca="1">IF(I580&gt;0,J580*100/I580,0)</f>
        <v>3.7735849056603774</v>
      </c>
      <c r="L580" s="371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3209796</v>
      </c>
      <c r="M580" s="371"/>
      <c r="N580" s="371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352273.64</v>
      </c>
      <c r="O580" s="371">
        <f t="shared" ref="O580:O584" ca="1" si="92">+IF(L580&gt;0,N580*100/L580,0)</f>
        <v>10.974954171542366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64"/>
      <c r="N581" s="168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68">
        <f t="shared" ca="1" si="92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3209796</v>
      </c>
      <c r="M582" s="165"/>
      <c r="N582" s="168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352273.64</v>
      </c>
      <c r="O582" s="168">
        <f t="shared" ca="1" si="92"/>
        <v>10.974954171542366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68"/>
      <c r="N583" s="168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68">
        <f t="shared" ca="1" si="92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3209796</v>
      </c>
      <c r="M584" s="168"/>
      <c r="N584" s="168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352273.64</v>
      </c>
      <c r="O584" s="168">
        <f t="shared" ca="1" si="92"/>
        <v>10.974954171542366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171572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180701.64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1696</v>
      </c>
      <c r="J589" s="187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464</v>
      </c>
      <c r="K589" s="163">
        <f t="shared" ref="K589:K596" ca="1" si="93">IF(I589&gt;0,J589*100/I589,0)</f>
        <v>27.358490566037737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87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327.27999999999997</v>
      </c>
      <c r="K590" s="477">
        <f t="shared" ca="1" si="93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1696</v>
      </c>
      <c r="J591" s="187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109</v>
      </c>
      <c r="K591" s="163">
        <f t="shared" ca="1" si="93"/>
        <v>6.4268867924528301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87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86.299999999999983</v>
      </c>
      <c r="K592" s="340">
        <f t="shared" ca="1" si="93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1696</v>
      </c>
      <c r="J593" s="187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4</v>
      </c>
      <c r="K593" s="163">
        <f t="shared" ca="1" si="93"/>
        <v>0.23584905660377359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87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3.07</v>
      </c>
      <c r="K594" s="340">
        <f t="shared" ca="1" si="93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1696</v>
      </c>
      <c r="J595" s="187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64</v>
      </c>
      <c r="K595" s="163">
        <f t="shared" ca="1" si="93"/>
        <v>3.7735849056603774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40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43.379999999999995</v>
      </c>
      <c r="K596" s="484">
        <f t="shared" ca="1" si="93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1470</v>
      </c>
      <c r="J597" s="485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09">
        <f ca="1">IF(I597&gt;0,J597*100/I597,0)</f>
        <v>0</v>
      </c>
      <c r="L597" s="410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135050</v>
      </c>
      <c r="M597" s="410"/>
      <c r="N597" s="410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28216</v>
      </c>
      <c r="O597" s="410">
        <f t="shared" ref="O597:O601" ca="1" si="94">+IF(L597&gt;0,N597*100/L597,0)</f>
        <v>20.89300259163273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64"/>
      <c r="N598" s="168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68">
        <f t="shared" ca="1" si="94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135050</v>
      </c>
      <c r="M599" s="165"/>
      <c r="N599" s="168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28216</v>
      </c>
      <c r="O599" s="168">
        <f t="shared" ca="1" si="94"/>
        <v>20.89300259163273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68"/>
      <c r="N600" s="168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68">
        <f t="shared" ca="1" si="94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135050</v>
      </c>
      <c r="M601" s="168"/>
      <c r="N601" s="168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28216</v>
      </c>
      <c r="O601" s="168">
        <f t="shared" ca="1" si="94"/>
        <v>20.89300259163273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27016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16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1470</v>
      </c>
      <c r="J611" s="162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63">
        <f t="shared" ref="K611:K619" ca="1" si="95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197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338.75</v>
      </c>
      <c r="K612" s="163">
        <f t="shared" ca="1" si="95"/>
        <v>23.044217687074831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197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50</v>
      </c>
      <c r="K613" s="163">
        <f t="shared" ca="1" si="95"/>
        <v>3.4013605442176869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197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147.80000000000001</v>
      </c>
      <c r="K614" s="163">
        <f t="shared" ca="1" si="95"/>
        <v>10.054421768707485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197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50</v>
      </c>
      <c r="K615" s="163">
        <f t="shared" ca="1" si="95"/>
        <v>3.4013605442176869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197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50</v>
      </c>
      <c r="K616" s="163">
        <f t="shared" ca="1" si="95"/>
        <v>3.4013605442176869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87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63">
        <f t="shared" ca="1" si="95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88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63">
        <f t="shared" ca="1" si="95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88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63">
        <f t="shared" ca="1" si="95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02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63">
        <f t="shared" ref="K620:K626" ca="1" si="96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02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63">
        <f t="shared" ca="1" si="96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88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63">
        <f t="shared" ca="1" si="96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88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63">
        <f t="shared" ca="1" si="96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87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100</v>
      </c>
      <c r="K624" s="163">
        <f t="shared" ca="1" si="96"/>
        <v>2.5018764073054789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88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63">
        <f t="shared" ca="1" si="96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88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63">
        <f t="shared" ca="1" si="96"/>
        <v>2.5018764073054789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103074459.59000002</v>
      </c>
      <c r="J628" s="339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27790152.199999999</v>
      </c>
      <c r="K628" s="340">
        <f t="shared" ref="K628:K635" ca="1" si="97">IF(I628&gt;0,J628*100/I628,0)</f>
        <v>26.96123977806052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4860</v>
      </c>
      <c r="J629" s="339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1553</v>
      </c>
      <c r="K629" s="340">
        <f t="shared" ca="1" si="97"/>
        <v>31.954732510288064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111887936.91000001</v>
      </c>
      <c r="J630" s="339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7297339.709999999</v>
      </c>
      <c r="K630" s="340">
        <f t="shared" ca="1" si="97"/>
        <v>6.5220075653640883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39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1411</v>
      </c>
      <c r="K631" s="340">
        <f t="shared" ca="1" si="97"/>
        <v>32.155879671832267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76453605.469999984</v>
      </c>
      <c r="J632" s="339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13092678.920000002</v>
      </c>
      <c r="K632" s="340">
        <f t="shared" ca="1" si="97"/>
        <v>17.124998670124857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6326</v>
      </c>
      <c r="J633" s="339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1747</v>
      </c>
      <c r="K633" s="340">
        <f t="shared" ca="1" si="97"/>
        <v>27.616187164084728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84535000</v>
      </c>
      <c r="J634" s="339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13226000</v>
      </c>
      <c r="K634" s="340">
        <f t="shared" ca="1" si="97"/>
        <v>15.645590583781866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2519</v>
      </c>
      <c r="J635" s="502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366</v>
      </c>
      <c r="K635" s="484">
        <f t="shared" ca="1" si="97"/>
        <v>14.529575228265184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10" width="13.90625" bestFit="1" customWidth="1"/>
    <col min="11" max="11" width="11" bestFit="1" customWidth="1"/>
    <col min="12" max="13" width="20.08984375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254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6980569</v>
      </c>
      <c r="M8" s="23">
        <f t="shared" ca="1" si="0"/>
        <v>2350712</v>
      </c>
      <c r="N8" s="23">
        <f t="shared" ca="1" si="0"/>
        <v>2301947.06</v>
      </c>
      <c r="O8" s="22">
        <f t="shared" ref="O8:O16" ca="1" si="1">IF(L8&gt;0,N8*100/L8,0)</f>
        <v>32.976496042084818</v>
      </c>
      <c r="P8" s="22">
        <f t="shared" ref="P8:P16" ca="1" si="2">IF(M8&gt;0,N8*100/M8,0)</f>
        <v>97.92552469209329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6980569</v>
      </c>
      <c r="M10" s="30">
        <f t="shared" ca="1" si="4"/>
        <v>2350712</v>
      </c>
      <c r="N10" s="30">
        <f t="shared" ca="1" si="4"/>
        <v>2301947.06</v>
      </c>
      <c r="O10" s="29">
        <f t="shared" ca="1" si="1"/>
        <v>32.976496042084818</v>
      </c>
      <c r="P10" s="29">
        <f t="shared" ca="1" si="2"/>
        <v>97.92552469209329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6905569</v>
      </c>
      <c r="M12" s="38">
        <f t="shared" ca="1" si="6"/>
        <v>2275712</v>
      </c>
      <c r="N12" s="38">
        <f t="shared" ca="1" si="6"/>
        <v>2226947.06</v>
      </c>
      <c r="O12" s="38">
        <f t="shared" ca="1" si="1"/>
        <v>32.248567207133839</v>
      </c>
      <c r="P12" s="38">
        <f t="shared" ca="1" si="2"/>
        <v>97.85715679312672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2200100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4705469</v>
      </c>
      <c r="M14" s="38">
        <f t="shared" si="8"/>
        <v>0</v>
      </c>
      <c r="N14" s="38">
        <f t="shared" ca="1" si="8"/>
        <v>449146.06</v>
      </c>
      <c r="O14" s="38">
        <f t="shared" ca="1" si="1"/>
        <v>9.5451922008199404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75000</v>
      </c>
      <c r="M16" s="38">
        <f t="shared" ca="1" si="10"/>
        <v>75000</v>
      </c>
      <c r="N16" s="38">
        <f t="shared" ca="1" si="10"/>
        <v>75000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4241230</v>
      </c>
      <c r="M18" s="23">
        <f t="shared" ca="1" si="11"/>
        <v>2350712</v>
      </c>
      <c r="N18" s="23">
        <f t="shared" ca="1" si="11"/>
        <v>1852801</v>
      </c>
      <c r="O18" s="22">
        <f t="shared" ref="O18:O20" ca="1" si="12">IF(L18&gt;0,N18*100/L18,0)</f>
        <v>43.685463886655519</v>
      </c>
      <c r="P18" s="22">
        <f t="shared" ref="P18:P26" ca="1" si="13">IF(M18&gt;0,N18*100/M18,0)</f>
        <v>78.818715350923469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4241230</v>
      </c>
      <c r="M20" s="30">
        <f t="shared" ca="1" si="15"/>
        <v>2350712</v>
      </c>
      <c r="N20" s="30">
        <f t="shared" ca="1" si="15"/>
        <v>1852801</v>
      </c>
      <c r="O20" s="29">
        <f t="shared" ca="1" si="12"/>
        <v>43.685463886655519</v>
      </c>
      <c r="P20" s="29">
        <f t="shared" ca="1" si="13"/>
        <v>78.818715350923469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4166230</v>
      </c>
      <c r="M22" s="41">
        <f t="shared" ca="1" si="18"/>
        <v>2275712</v>
      </c>
      <c r="N22" s="38">
        <f t="shared" ca="1" si="18"/>
        <v>1777801</v>
      </c>
      <c r="O22" s="38">
        <f t="shared" ca="1" si="17"/>
        <v>42.671695993740144</v>
      </c>
      <c r="P22" s="38">
        <f t="shared" ca="1" si="13"/>
        <v>78.120649713144715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2200100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1966130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75000</v>
      </c>
      <c r="M26" s="49">
        <f t="shared" ca="1" si="22"/>
        <v>75000</v>
      </c>
      <c r="N26" s="49">
        <f t="shared" ca="1" si="22"/>
        <v>75000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2739339</v>
      </c>
      <c r="M28" s="23">
        <f t="shared" si="23"/>
        <v>0</v>
      </c>
      <c r="N28" s="23">
        <f t="shared" ca="1" si="23"/>
        <v>449146.06</v>
      </c>
      <c r="O28" s="22">
        <f t="shared" ref="O28:O30" ca="1" si="24">IF(L28&gt;0,N28*100/L28,0)</f>
        <v>16.396147391761296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2739339</v>
      </c>
      <c r="M30" s="30">
        <f t="shared" si="27"/>
        <v>0</v>
      </c>
      <c r="N30" s="30">
        <f t="shared" ca="1" si="27"/>
        <v>449146.06</v>
      </c>
      <c r="O30" s="29">
        <f t="shared" ca="1" si="24"/>
        <v>16.396147391761296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2739339</v>
      </c>
      <c r="M32" s="38">
        <f t="shared" si="30"/>
        <v>0</v>
      </c>
      <c r="N32" s="38">
        <f t="shared" ca="1" si="30"/>
        <v>449146.06</v>
      </c>
      <c r="O32" s="38">
        <f t="shared" ca="1" si="29"/>
        <v>16.396147391761296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2739339</v>
      </c>
      <c r="M34" s="38">
        <f t="shared" si="32"/>
        <v>0</v>
      </c>
      <c r="N34" s="38">
        <f t="shared" ca="1" si="32"/>
        <v>449146.06</v>
      </c>
      <c r="O34" s="38">
        <f t="shared" ca="1" si="29"/>
        <v>16.396147391761296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4241230</v>
      </c>
      <c r="M37" s="54">
        <f t="shared" ca="1" si="33"/>
        <v>2350712</v>
      </c>
      <c r="N37" s="54">
        <f t="shared" ca="1" si="33"/>
        <v>1852801</v>
      </c>
      <c r="O37" s="55">
        <f t="shared" ca="1" si="29"/>
        <v>43.685463886655519</v>
      </c>
      <c r="P37" s="55">
        <f t="shared" ca="1" si="25"/>
        <v>78.818715350923469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1038100</v>
      </c>
      <c r="M41" s="78">
        <f t="shared" ca="1" si="34"/>
        <v>519100</v>
      </c>
      <c r="N41" s="78">
        <f t="shared" ca="1" si="34"/>
        <v>485410</v>
      </c>
      <c r="O41" s="77">
        <f t="shared" ref="O41:O43" ca="1" si="35">IF(L41&gt;0,N41*100/L41,0)</f>
        <v>46.759464406126575</v>
      </c>
      <c r="P41" s="77">
        <f t="shared" ref="P41:P43" ca="1" si="36">IF(M41&gt;0,N41*100/M41,0)</f>
        <v>93.509921017145061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1038100</v>
      </c>
      <c r="M43" s="78">
        <f t="shared" ca="1" si="38"/>
        <v>519100</v>
      </c>
      <c r="N43" s="78">
        <f t="shared" ca="1" si="38"/>
        <v>485410</v>
      </c>
      <c r="O43" s="77">
        <f t="shared" ca="1" si="35"/>
        <v>46.759464406126575</v>
      </c>
      <c r="P43" s="77">
        <f t="shared" ca="1" si="36"/>
        <v>93.509921017145061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1038100</v>
      </c>
      <c r="M45" s="49">
        <f ca="1">IFERROR(__xludf.DUMMYFUNCTION("IMPORTRANGE(""https://docs.google.com/spreadsheets/d/1Yj_ptqi66GCucihVvJfMjLAmec39IyEx_6qawtMGysU/edit?usp=sharing"",""สบก!Q28"")"),519100)</f>
        <v>519100</v>
      </c>
      <c r="N45" s="49">
        <f ca="1">IFERROR(__xludf.DUMMYFUNCTION("IMPORTRANGE(""https://docs.google.com/spreadsheets/d/1Yj_ptqi66GCucihVvJfMjLAmec39IyEx_6qawtMGysU/edit?usp=sharing"",""สบก!R28"")"),485410)</f>
        <v>485410</v>
      </c>
      <c r="O45" s="38">
        <f ca="1">IF(L45&gt;0,N45*100/L45,0)</f>
        <v>46.759464406126575</v>
      </c>
      <c r="P45" s="38">
        <f ca="1">IF(M45&gt;0,N45*100/M45,0)</f>
        <v>93.509921017145061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IFERROR(__xludf.DUMMYFUNCTION("IMPORTRANGE(""https://docs.google.com/spreadsheets/d/1Yj_ptqi66GCucihVvJfMjLAmec39IyEx_6qawtMGysU/edit?usp=sharing"",""สบก!M28"")"),1038100)</f>
        <v>1038100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IFERROR(__xludf.DUMMYFUNCTION("IMPORTRANGE(""https://docs.google.com/spreadsheets/d/1Yj_ptqi66GCucihVvJfMjLAmec39IyEx_6qawtMGysU/edit?usp=sharing"",""สบก!N28"")"),0)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IFERROR(__xludf.DUMMYFUNCTION("IMPORTRANGE(""https://docs.google.com/spreadsheets/d/1Yj_ptqi66GCucihVvJfMjLAmec39IyEx_6qawtMGysU/edit?usp=sharing"",""สบก!O28"")"),0)</f>
        <v>0</v>
      </c>
      <c r="M49" s="49"/>
      <c r="N49" s="49">
        <f ca="1">IFERROR(__xludf.DUMMYFUNCTION("IMPORTRANGE(""https://docs.google.com/spreadsheets/d/1Yj_ptqi66GCucihVvJfMjLAmec39IyEx_6qawtMGysU/edit?usp=sharing"",""สบก!S28"")"),0)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400000</v>
      </c>
      <c r="M53" s="120">
        <f t="shared" ca="1" si="39"/>
        <v>219802</v>
      </c>
      <c r="N53" s="120">
        <f t="shared" ca="1" si="39"/>
        <v>214603</v>
      </c>
      <c r="O53" s="119">
        <f t="shared" ref="O53:O55" ca="1" si="40">IF(L53&gt;0,N53*100/L53,0)</f>
        <v>53.650750000000002</v>
      </c>
      <c r="P53" s="119">
        <f t="shared" ref="P53:P55" ca="1" si="41">IF(M53&gt;0,N53*100/M53,0)</f>
        <v>97.63468940228023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400000</v>
      </c>
      <c r="M55" s="120">
        <f t="shared" ca="1" si="43"/>
        <v>219802</v>
      </c>
      <c r="N55" s="120">
        <f t="shared" ca="1" si="43"/>
        <v>214603</v>
      </c>
      <c r="O55" s="119">
        <f t="shared" ca="1" si="40"/>
        <v>53.650750000000002</v>
      </c>
      <c r="P55" s="119">
        <f t="shared" ca="1" si="41"/>
        <v>97.63468940228023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IFERROR(__xludf.DUMMYFUNCTION("IMPORTRANGE(""https://docs.google.com/spreadsheets/d/1Yj_ptqi66GCucihVvJfMjLAmec39IyEx_6qawtMGysU/edit?usp=sharing"",""สบก!Z28"")"),219802)</f>
        <v>219802</v>
      </c>
      <c r="N57" s="49">
        <f ca="1">IFERROR(__xludf.DUMMYFUNCTION("IMPORTRANGE(""https://docs.google.com/spreadsheets/d/1Yj_ptqi66GCucihVvJfMjLAmec39IyEx_6qawtMGysU/edit?usp=sharing"",""สบก!AA28"")"),214603)</f>
        <v>214603</v>
      </c>
      <c r="O57" s="38">
        <f ca="1">IF(L57&gt;0,N57*100/L57,0)</f>
        <v>53.650750000000002</v>
      </c>
      <c r="P57" s="38">
        <f ca="1">IF(M57&gt;0,N57*100/M57,0)</f>
        <v>97.63468940228023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IFERROR(__xludf.DUMMYFUNCTION("IMPORTRANGE(""https://docs.google.com/spreadsheets/d/1Yj_ptqi66GCucihVvJfMjLAmec39IyEx_6qawtMGysU/edit?usp=sharing"",""สบก!V28"")"),400000)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IFERROR(__xludf.DUMMYFUNCTION("IMPORTRANGE(""https://docs.google.com/spreadsheets/d/1Yj_ptqi66GCucihVvJfMjLAmec39IyEx_6qawtMGysU/edit?usp=sharing"",""สบก!W28"")"),0)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IFERROR(__xludf.DUMMYFUNCTION("IMPORTRANGE(""https://docs.google.com/spreadsheets/d/1Yj_ptqi66GCucihVvJfMjLAmec39IyEx_6qawtMGysU/edit?usp=sharing"",""สบก!X28"")"),0)</f>
        <v>0</v>
      </c>
      <c r="M61" s="49"/>
      <c r="N61" s="49">
        <f ca="1">IFERROR(__xludf.DUMMYFUNCTION("IMPORTRANGE(""https://docs.google.com/spreadsheets/d/1Yj_ptqi66GCucihVvJfMjLAmec39IyEx_6qawtMGysU/edit?usp=sharing"",""สบก!AB28"")"),0)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IFERROR(__xludf.DUMMYFUNCTION("IMPORTRANGE(""https://docs.google.com/spreadsheets/d/11923uPwbBZFjjGgGUA6NLw09EwE0CqkOc4q9oUmW1yo/edit?usp=sharing"",""พิษณุโลก!I9"")"),3)</f>
        <v>3</v>
      </c>
      <c r="J64" s="141">
        <f ca="1">IFERROR(__xludf.DUMMYFUNCTION("IMPORTRANGE(""https://docs.google.com/spreadsheets/d/11923uPwbBZFjjGgGUA6NLw09EwE0CqkOc4q9oUmW1yo/edit?usp=sharing"",""พิษณุโลก!J9"")"),3)</f>
        <v>3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IFERROR(__xludf.DUMMYFUNCTION("IMPORTRANGE(""https://docs.google.com/spreadsheets/d/11923uPwbBZFjjGgGUA6NLw09EwE0CqkOc4q9oUmW1yo/edit?usp=sharing"",""พิษณุโลก!I10"")"),188)</f>
        <v>188</v>
      </c>
      <c r="J65" s="141">
        <f ca="1">IFERROR(__xludf.DUMMYFUNCTION("IMPORTRANGE(""https://docs.google.com/spreadsheets/d/11923uPwbBZFjjGgGUA6NLw09EwE0CqkOc4q9oUmW1yo/edit?usp=sharing"",""พิษณุโลก!J10"")"),188)</f>
        <v>188</v>
      </c>
      <c r="K65" s="142">
        <f t="shared" ca="1" si="44"/>
        <v>100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1706600</v>
      </c>
      <c r="M66" s="151">
        <f t="shared" ca="1" si="45"/>
        <v>991680</v>
      </c>
      <c r="N66" s="151">
        <f t="shared" ca="1" si="45"/>
        <v>615022</v>
      </c>
      <c r="O66" s="150">
        <f t="shared" ref="O66:O68" ca="1" si="46">IF(L66&gt;0,N66*100/L66,0)</f>
        <v>36.037853041134419</v>
      </c>
      <c r="P66" s="150">
        <f t="shared" ref="P66:P68" ca="1" si="47">IF(M66&gt;0,N66*100/M66,0)</f>
        <v>62.018191352049051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1706600</v>
      </c>
      <c r="M68" s="87">
        <f t="shared" ca="1" si="49"/>
        <v>991680</v>
      </c>
      <c r="N68" s="87">
        <f t="shared" ca="1" si="49"/>
        <v>615022</v>
      </c>
      <c r="O68" s="155">
        <f t="shared" ca="1" si="46"/>
        <v>36.037853041134419</v>
      </c>
      <c r="P68" s="155">
        <f t="shared" ca="1" si="47"/>
        <v>62.018191352049051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1646600</v>
      </c>
      <c r="M70" s="167">
        <f ca="1">IFERROR(__xludf.DUMMYFUNCTION("IMPORTRANGE(""https://docs.google.com/spreadsheets/d/1Yj_ptqi66GCucihVvJfMjLAmec39IyEx_6qawtMGysU/edit?usp=sharing"",""สบก!AI28"")"),931680)</f>
        <v>931680</v>
      </c>
      <c r="N70" s="168">
        <f ca="1">IFERROR(__xludf.DUMMYFUNCTION("IMPORTRANGE(""https://docs.google.com/spreadsheets/d/1Yj_ptqi66GCucihVvJfMjLAmec39IyEx_6qawtMGysU/edit?usp=sharing"",""สบก!AJ28"")"),555022)</f>
        <v>555022</v>
      </c>
      <c r="O70" s="168">
        <f ca="1">IF(L70&gt;0,N70*100/L70,0)</f>
        <v>33.707154135794973</v>
      </c>
      <c r="P70" s="168">
        <f ca="1">IF(M70&gt;0,N70*100/M70,0)</f>
        <v>59.572170702387083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IFERROR(__xludf.DUMMYFUNCTION("IMPORTRANGE(""https://docs.google.com/spreadsheets/d/1Yj_ptqi66GCucihVvJfMjLAmec39IyEx_6qawtMGysU/edit?usp=sharing"",""สบก!AE28"")"),192000)</f>
        <v>192000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IFERROR(__xludf.DUMMYFUNCTION("IMPORTRANGE(""https://docs.google.com/spreadsheets/d/1Yj_ptqi66GCucihVvJfMjLAmec39IyEx_6qawtMGysU/edit?usp=sharing"",""สบก!AF28"")"),1454600)</f>
        <v>1454600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IFERROR(__xludf.DUMMYFUNCTION("IMPORTRANGE(""https://docs.google.com/spreadsheets/d/1Yj_ptqi66GCucihVvJfMjLAmec39IyEx_6qawtMGysU/edit?usp=sharing"",""สบก!AG28"")"),60000)</f>
        <v>60000</v>
      </c>
      <c r="M74" s="49">
        <f ca="1">L74</f>
        <v>60000</v>
      </c>
      <c r="N74" s="49">
        <f ca="1">IFERROR(__xludf.DUMMYFUNCTION("IMPORTRANGE(""https://docs.google.com/spreadsheets/d/1Yj_ptqi66GCucihVvJfMjLAmec39IyEx_6qawtMGysU/edit?usp=sharing"",""สบก!AK28"")"),60000)</f>
        <v>60000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IFERROR(__xludf.DUMMYFUNCTION("IMPORTRANGE(""https://docs.google.com/spreadsheets/d/11923uPwbBZFjjGgGUA6NLw09EwE0CqkOc4q9oUmW1yo/edit?usp=sharing"",""พิษณุโลก!J16"")"),0)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IFERROR(__xludf.DUMMYFUNCTION("IMPORTRANGE(""https://docs.google.com/spreadsheets/d/11923uPwbBZFjjGgGUA6NLw09EwE0CqkOc4q9oUmW1yo/edit?usp=sharing"",""พิษณุโลก!J17"")"),1)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IFERROR(__xludf.DUMMYFUNCTION("IMPORTRANGE(""https://docs.google.com/spreadsheets/d/11923uPwbBZFjjGgGUA6NLw09EwE0CqkOc4q9oUmW1yo/edit?usp=sharing"",""พิษณุโลก!J18"")"),1)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IFERROR(__xludf.DUMMYFUNCTION("IMPORTRANGE(""https://docs.google.com/spreadsheets/d/11923uPwbBZFjjGgGUA6NLw09EwE0CqkOc4q9oUmW1yo/edit?usp=sharing"",""พิษณุโลก!J19"")"),1)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IFERROR(__xludf.DUMMYFUNCTION("IMPORTRANGE(""https://docs.google.com/spreadsheets/d/11923uPwbBZFjjGgGUA6NLw09EwE0CqkOc4q9oUmW1yo/edit?usp=sharing"",""พิษณุโลก!I20"")"),3)</f>
        <v>3</v>
      </c>
      <c r="J80" s="200">
        <f ca="1">IFERROR(__xludf.DUMMYFUNCTION("IMPORTRANGE(""https://docs.google.com/spreadsheets/d/11923uPwbBZFjjGgGUA6NLw09EwE0CqkOc4q9oUmW1yo/edit?usp=sharing"",""พิษณุโลก!J20"")"),3)</f>
        <v>3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IFERROR(__xludf.DUMMYFUNCTION("IMPORTRANGE(""https://docs.google.com/spreadsheets/d/11923uPwbBZFjjGgGUA6NLw09EwE0CqkOc4q9oUmW1yo/edit?usp=sharing"",""พิษณุโลก!I21"")"),188)</f>
        <v>188</v>
      </c>
      <c r="J81" s="200">
        <f ca="1">IFERROR(__xludf.DUMMYFUNCTION("IMPORTRANGE(""https://docs.google.com/spreadsheets/d/11923uPwbBZFjjGgGUA6NLw09EwE0CqkOc4q9oUmW1yo/edit?usp=sharing"",""พิษณุโลก!J21"")"),188)</f>
        <v>188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IFERROR(__xludf.DUMMYFUNCTION("IMPORTRANGE(""https://docs.google.com/spreadsheets/d/11923uPwbBZFjjGgGUA6NLw09EwE0CqkOc4q9oUmW1yo/edit?usp=sharing"",""พิษณุโลก!I22"")"),0)</f>
        <v>0</v>
      </c>
      <c r="J82" s="203">
        <f ca="1">IFERROR(__xludf.DUMMYFUNCTION("IMPORTRANGE(""https://docs.google.com/spreadsheets/d/11923uPwbBZFjjGgGUA6NLw09EwE0CqkOc4q9oUmW1yo/edit?usp=sharing"",""พิษณุโลก!J22"")"),0)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IFERROR(__xludf.DUMMYFUNCTION("IMPORTRANGE(""https://docs.google.com/spreadsheets/d/11923uPwbBZFjjGgGUA6NLw09EwE0CqkOc4q9oUmW1yo/edit?usp=sharing"",""พิษณุโลก!I23"")"),0)</f>
        <v>0</v>
      </c>
      <c r="J83" s="203">
        <f ca="1">IFERROR(__xludf.DUMMYFUNCTION("IMPORTRANGE(""https://docs.google.com/spreadsheets/d/11923uPwbBZFjjGgGUA6NLw09EwE0CqkOc4q9oUmW1yo/edit?usp=sharing"",""พิษณุโลก!J23"")"),0)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IFERROR(__xludf.DUMMYFUNCTION("IMPORTRANGE(""https://docs.google.com/spreadsheets/d/11923uPwbBZFjjGgGUA6NLw09EwE0CqkOc4q9oUmW1yo/edit?usp=sharing"",""พิษณุโลก!I24"")"),0)</f>
        <v>0</v>
      </c>
      <c r="J84" s="188">
        <f ca="1">IFERROR(__xludf.DUMMYFUNCTION("IMPORTRANGE(""https://docs.google.com/spreadsheets/d/11923uPwbBZFjjGgGUA6NLw09EwE0CqkOc4q9oUmW1yo/edit?usp=sharing"",""พิษณุโลก!J24"")"),0)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IFERROR(__xludf.DUMMYFUNCTION("IMPORTRANGE(""https://docs.google.com/spreadsheets/d/11923uPwbBZFjjGgGUA6NLw09EwE0CqkOc4q9oUmW1yo/edit?usp=sharing"",""พิษณุโลก!I25"")"),0)</f>
        <v>0</v>
      </c>
      <c r="J85" s="188">
        <f ca="1">IFERROR(__xludf.DUMMYFUNCTION("IMPORTRANGE(""https://docs.google.com/spreadsheets/d/11923uPwbBZFjjGgGUA6NLw09EwE0CqkOc4q9oUmW1yo/edit?usp=sharing"",""พิษณุโลก!J25"")"),0)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IFERROR(__xludf.DUMMYFUNCTION("IMPORTRANGE(""https://docs.google.com/spreadsheets/d/11923uPwbBZFjjGgGUA6NLw09EwE0CqkOc4q9oUmW1yo/edit?usp=sharing"",""พิษณุโลก!I26"")"),3)</f>
        <v>3</v>
      </c>
      <c r="J86" s="203">
        <f ca="1">IFERROR(__xludf.DUMMYFUNCTION("IMPORTRANGE(""https://docs.google.com/spreadsheets/d/11923uPwbBZFjjGgGUA6NLw09EwE0CqkOc4q9oUmW1yo/edit?usp=sharing"",""พิษณุโลก!J26"")"),3)</f>
        <v>3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IFERROR(__xludf.DUMMYFUNCTION("IMPORTRANGE(""https://docs.google.com/spreadsheets/d/11923uPwbBZFjjGgGUA6NLw09EwE0CqkOc4q9oUmW1yo/edit?usp=sharing"",""พิษณุโลก!I27"")"),188)</f>
        <v>188</v>
      </c>
      <c r="J87" s="203">
        <f ca="1">IFERROR(__xludf.DUMMYFUNCTION("IMPORTRANGE(""https://docs.google.com/spreadsheets/d/11923uPwbBZFjjGgGUA6NLw09EwE0CqkOc4q9oUmW1yo/edit?usp=sharing"",""พิษณุโลก!J27"")"),188)</f>
        <v>188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IFERROR(__xludf.DUMMYFUNCTION("IMPORTRANGE(""https://docs.google.com/spreadsheets/d/11923uPwbBZFjjGgGUA6NLw09EwE0CqkOc4q9oUmW1yo/edit?usp=sharing"",""พิษณุโลก!I28"")"),0)</f>
        <v>0</v>
      </c>
      <c r="J88" s="203">
        <f ca="1">IFERROR(__xludf.DUMMYFUNCTION("IMPORTRANGE(""https://docs.google.com/spreadsheets/d/11923uPwbBZFjjGgGUA6NLw09EwE0CqkOc4q9oUmW1yo/edit?usp=sharing"",""พิษณุโลก!J28"")"),0)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IFERROR(__xludf.DUMMYFUNCTION("IMPORTRANGE(""https://docs.google.com/spreadsheets/d/11923uPwbBZFjjGgGUA6NLw09EwE0CqkOc4q9oUmW1yo/edit?usp=sharing"",""พิษณุโลก!J29"")"),0)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IFERROR(__xludf.DUMMYFUNCTION("IMPORTRANGE(""https://docs.google.com/spreadsheets/d/11923uPwbBZFjjGgGUA6NLw09EwE0CqkOc4q9oUmW1yo/edit?usp=sharing"",""พิษณุโลก!J30"")"),0)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IFERROR(__xludf.DUMMYFUNCTION("IMPORTRANGE(""https://docs.google.com/spreadsheets/d/11923uPwbBZFjjGgGUA6NLw09EwE0CqkOc4q9oUmW1yo/edit?usp=sharing"",""พิษณุโลก!I32"")"),0)</f>
        <v>0</v>
      </c>
      <c r="J92" s="141">
        <f ca="1">IFERROR(__xludf.DUMMYFUNCTION("IMPORTRANGE(""https://docs.google.com/spreadsheets/d/11923uPwbBZFjjGgGUA6NLw09EwE0CqkOc4q9oUmW1yo/edit?usp=sharing"",""พิษณุโลก!J32"")"),0)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IFERROR(__xludf.DUMMYFUNCTION("IMPORTRANGE(""https://docs.google.com/spreadsheets/d/11923uPwbBZFjjGgGUA6NLw09EwE0CqkOc4q9oUmW1yo/edit?usp=sharing"",""พิษณุโลก!I33"")"),0)</f>
        <v>0</v>
      </c>
      <c r="J93" s="141">
        <f ca="1">IFERROR(__xludf.DUMMYFUNCTION("IMPORTRANGE(""https://docs.google.com/spreadsheets/d/11923uPwbBZFjjGgGUA6NLw09EwE0CqkOc4q9oUmW1yo/edit?usp=sharing"",""พิษณุโลก!J33"")"),0)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0</v>
      </c>
      <c r="M94" s="151">
        <f t="shared" ca="1" si="52"/>
        <v>0</v>
      </c>
      <c r="N94" s="151">
        <f t="shared" ca="1" si="52"/>
        <v>0</v>
      </c>
      <c r="O94" s="150">
        <f t="shared" ref="O94:O96" ca="1" si="53">IF(L94&gt;0,N94*100/L94,0)</f>
        <v>0</v>
      </c>
      <c r="P94" s="150">
        <f t="shared" ref="P94:P96" ca="1" si="54">IF(M94&gt;0,N94*100/M94,0)</f>
        <v>0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0</v>
      </c>
      <c r="M96" s="87">
        <f t="shared" ca="1" si="56"/>
        <v>0</v>
      </c>
      <c r="N96" s="87">
        <f t="shared" ca="1" si="56"/>
        <v>0</v>
      </c>
      <c r="O96" s="155">
        <f t="shared" ca="1" si="53"/>
        <v>0</v>
      </c>
      <c r="P96" s="155">
        <f t="shared" ca="1" si="54"/>
        <v>0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IFERROR(__xludf.DUMMYFUNCTION("IMPORTRANGE(""https://docs.google.com/spreadsheets/d/1Yj_ptqi66GCucihVvJfMjLAmec39IyEx_6qawtMGysU/edit?usp=sharing"",""สบก!AR28"")"),0)</f>
        <v>0</v>
      </c>
      <c r="N98" s="168">
        <f ca="1">IFERROR(__xludf.DUMMYFUNCTION("IMPORTRANGE(""https://docs.google.com/spreadsheets/d/1Yj_ptqi66GCucihVvJfMjLAmec39IyEx_6qawtMGysU/edit?usp=sharing"",""สบก!AS28"")"),0)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IFERROR(__xludf.DUMMYFUNCTION("IMPORTRANGE(""https://docs.google.com/spreadsheets/d/1Yj_ptqi66GCucihVvJfMjLAmec39IyEx_6qawtMGysU/edit?usp=sharing"",""สบก!AN28"")"),0)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IFERROR(__xludf.DUMMYFUNCTION("IMPORTRANGE(""https://docs.google.com/spreadsheets/d/1Yj_ptqi66GCucihVvJfMjLAmec39IyEx_6qawtMGysU/edit?usp=sharing"",""สบก!AO28"")"),0)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IFERROR(__xludf.DUMMYFUNCTION("IMPORTRANGE(""https://docs.google.com/spreadsheets/d/1Yj_ptqi66GCucihVvJfMjLAmec39IyEx_6qawtMGysU/edit?usp=sharing"",""สบก!AP28"")"),0)</f>
        <v>0</v>
      </c>
      <c r="M102" s="49"/>
      <c r="N102" s="49">
        <f ca="1">IFERROR(__xludf.DUMMYFUNCTION("IMPORTRANGE(""https://docs.google.com/spreadsheets/d/1Yj_ptqi66GCucihVvJfMjLAmec39IyEx_6qawtMGysU/edit?usp=sharing"",""สบก!AT28"")"),0)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IFERROR(__xludf.DUMMYFUNCTION("IMPORTRANGE(""https://docs.google.com/spreadsheets/d/11923uPwbBZFjjGgGUA6NLw09EwE0CqkOc4q9oUmW1yo/edit?usp=sharing"",""พิษณุโลก!J39"")"),0)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IFERROR(__xludf.DUMMYFUNCTION("IMPORTRANGE(""https://docs.google.com/spreadsheets/d/11923uPwbBZFjjGgGUA6NLw09EwE0CqkOc4q9oUmW1yo/edit?usp=sharing"",""พิษณุโลก!J40"")"),0)</f>
        <v>0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IFERROR(__xludf.DUMMYFUNCTION("IMPORTRANGE(""https://docs.google.com/spreadsheets/d/11923uPwbBZFjjGgGUA6NLw09EwE0CqkOc4q9oUmW1yo/edit?usp=sharing"",""พิษณุโลก!J41"")"),0)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IFERROR(__xludf.DUMMYFUNCTION("IMPORTRANGE(""https://docs.google.com/spreadsheets/d/11923uPwbBZFjjGgGUA6NLw09EwE0CqkOc4q9oUmW1yo/edit?usp=sharing"",""พิษณุโลก!J42"")"),0)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IFERROR(__xludf.DUMMYFUNCTION("IMPORTRANGE(""https://docs.google.com/spreadsheets/d/11923uPwbBZFjjGgGUA6NLw09EwE0CqkOc4q9oUmW1yo/edit?usp=sharing"",""พิษณุโลก!I43"")"),0)</f>
        <v>0</v>
      </c>
      <c r="J108" s="203">
        <f ca="1">IFERROR(__xludf.DUMMYFUNCTION("IMPORTRANGE(""https://docs.google.com/spreadsheets/d/11923uPwbBZFjjGgGUA6NLw09EwE0CqkOc4q9oUmW1yo/edit?usp=sharing"",""พิษณุโลก!J43"")"),0)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IFERROR(__xludf.DUMMYFUNCTION("IMPORTRANGE(""https://docs.google.com/spreadsheets/d/11923uPwbBZFjjGgGUA6NLw09EwE0CqkOc4q9oUmW1yo/edit?usp=sharing"",""พิษณุโลก!I44"")"),0)</f>
        <v>0</v>
      </c>
      <c r="J109" s="203">
        <f ca="1">IFERROR(__xludf.DUMMYFUNCTION("IMPORTRANGE(""https://docs.google.com/spreadsheets/d/11923uPwbBZFjjGgGUA6NLw09EwE0CqkOc4q9oUmW1yo/edit?usp=sharing"",""พิษณุโลก!J44"")"),0)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IFERROR(__xludf.DUMMYFUNCTION("IMPORTRANGE(""https://docs.google.com/spreadsheets/d/11923uPwbBZFjjGgGUA6NLw09EwE0CqkOc4q9oUmW1yo/edit?usp=sharing"",""พิษณุโลก!I45"")"),0)</f>
        <v>0</v>
      </c>
      <c r="J110" s="203">
        <f ca="1">IFERROR(__xludf.DUMMYFUNCTION("IMPORTRANGE(""https://docs.google.com/spreadsheets/d/11923uPwbBZFjjGgGUA6NLw09EwE0CqkOc4q9oUmW1yo/edit?usp=sharing"",""พิษณุโลก!J45"")"),0)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IFERROR(__xludf.DUMMYFUNCTION("IMPORTRANGE(""https://docs.google.com/spreadsheets/d/11923uPwbBZFjjGgGUA6NLw09EwE0CqkOc4q9oUmW1yo/edit?usp=sharing"",""พิษณุโลก!I46"")"),0)</f>
        <v>0</v>
      </c>
      <c r="J111" s="203">
        <f ca="1">IFERROR(__xludf.DUMMYFUNCTION("IMPORTRANGE(""https://docs.google.com/spreadsheets/d/11923uPwbBZFjjGgGUA6NLw09EwE0CqkOc4q9oUmW1yo/edit?usp=sharing"",""พิษณุโลก!J46"")"),0)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IFERROR(__xludf.DUMMYFUNCTION("IMPORTRANGE(""https://docs.google.com/spreadsheets/d/11923uPwbBZFjjGgGUA6NLw09EwE0CqkOc4q9oUmW1yo/edit?usp=sharing"",""พิษณุโลก!I47"")"),0)</f>
        <v>0</v>
      </c>
      <c r="J112" s="203">
        <f ca="1">IFERROR(__xludf.DUMMYFUNCTION("IMPORTRANGE(""https://docs.google.com/spreadsheets/d/11923uPwbBZFjjGgGUA6NLw09EwE0CqkOc4q9oUmW1yo/edit?usp=sharing"",""พิษณุโลก!J47"")"),0)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IFERROR(__xludf.DUMMYFUNCTION("IMPORTRANGE(""https://docs.google.com/spreadsheets/d/11923uPwbBZFjjGgGUA6NLw09EwE0CqkOc4q9oUmW1yo/edit?usp=sharing"",""พิษณุโลก!I48"")"),0)</f>
        <v>0</v>
      </c>
      <c r="J113" s="203">
        <f ca="1">IFERROR(__xludf.DUMMYFUNCTION("IMPORTRANGE(""https://docs.google.com/spreadsheets/d/11923uPwbBZFjjGgGUA6NLw09EwE0CqkOc4q9oUmW1yo/edit?usp=sharing"",""พิษณุโลก!J48"")"),0)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IFERROR(__xludf.DUMMYFUNCTION("IMPORTRANGE(""https://docs.google.com/spreadsheets/d/11923uPwbBZFjjGgGUA6NLw09EwE0CqkOc4q9oUmW1yo/edit?usp=sharing"",""พิษณุโลก!J49"")"),0)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IFERROR(__xludf.DUMMYFUNCTION("IMPORTRANGE(""https://docs.google.com/spreadsheets/d/11923uPwbBZFjjGgGUA6NLw09EwE0CqkOc4q9oUmW1yo/edit?usp=sharing"",""พิษณุโลก!J50"")"),0)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IFERROR(__xludf.DUMMYFUNCTION("IMPORTRANGE(""https://docs.google.com/spreadsheets/d/11923uPwbBZFjjGgGUA6NLw09EwE0CqkOc4q9oUmW1yo/edit?usp=sharing"",""พิษณุโลก!I52"")"),0)</f>
        <v>0</v>
      </c>
      <c r="J117" s="141">
        <f ca="1">IFERROR(__xludf.DUMMYFUNCTION("IMPORTRANGE(""https://docs.google.com/spreadsheets/d/11923uPwbBZFjjGgGUA6NLw09EwE0CqkOc4q9oUmW1yo/edit?usp=sharing"",""พิษณุโลก!J52"")"),0)</f>
        <v>0</v>
      </c>
      <c r="K117" s="142">
        <f ca="1">IF(I117&gt;0,J117*100/I117,0)</f>
        <v>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0</v>
      </c>
      <c r="M118" s="151">
        <f t="shared" ca="1" si="58"/>
        <v>0</v>
      </c>
      <c r="N118" s="151">
        <f t="shared" ca="1" si="58"/>
        <v>0</v>
      </c>
      <c r="O118" s="150">
        <f t="shared" ref="O118:O120" ca="1" si="59">IF(L118&gt;0,N118*100/L118,0)</f>
        <v>0</v>
      </c>
      <c r="P118" s="150">
        <f t="shared" ref="P118:P120" ca="1" si="60">IF(M118&gt;0,N118*100/M118,0)</f>
        <v>0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0</v>
      </c>
      <c r="M120" s="87">
        <f t="shared" ca="1" si="62"/>
        <v>0</v>
      </c>
      <c r="N120" s="87">
        <f t="shared" ca="1" si="62"/>
        <v>0</v>
      </c>
      <c r="O120" s="155">
        <f t="shared" ca="1" si="59"/>
        <v>0</v>
      </c>
      <c r="P120" s="155">
        <f t="shared" ca="1" si="60"/>
        <v>0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IFERROR(__xludf.DUMMYFUNCTION("IMPORTRANGE(""https://docs.google.com/spreadsheets/d/1Yj_ptqi66GCucihVvJfMjLAmec39IyEx_6qawtMGysU/edit?usp=sharing"",""สบก!BA28"")"),0)</f>
        <v>0</v>
      </c>
      <c r="N122" s="168">
        <f ca="1">IFERROR(__xludf.DUMMYFUNCTION("IMPORTRANGE(""https://docs.google.com/spreadsheets/d/1Yj_ptqi66GCucihVvJfMjLAmec39IyEx_6qawtMGysU/edit?usp=sharing"",""สบก!BB28"")"),0)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IFERROR(__xludf.DUMMYFUNCTION("IMPORTRANGE(""https://docs.google.com/spreadsheets/d/1Yj_ptqi66GCucihVvJfMjLAmec39IyEx_6qawtMGysU/edit?usp=sharing"",""สบก!AW28"")"),0)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IFERROR(__xludf.DUMMYFUNCTION("IMPORTRANGE(""https://docs.google.com/spreadsheets/d/1Yj_ptqi66GCucihVvJfMjLAmec39IyEx_6qawtMGysU/edit?usp=sharing"",""สบก!AX28"")"),0)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IFERROR(__xludf.DUMMYFUNCTION("IMPORTRANGE(""https://docs.google.com/spreadsheets/d/1Yj_ptqi66GCucihVvJfMjLAmec39IyEx_6qawtMGysU/edit?usp=sharing"",""สบก!AY28"")"),0)</f>
        <v>0</v>
      </c>
      <c r="M126" s="49"/>
      <c r="N126" s="49">
        <f ca="1">IFERROR(__xludf.DUMMYFUNCTION("IMPORTRANGE(""https://docs.google.com/spreadsheets/d/1Yj_ptqi66GCucihVvJfMjLAmec39IyEx_6qawtMGysU/edit?usp=sharing"",""สบก!BC28"")"),0)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255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IFERROR(__xludf.DUMMYFUNCTION("IMPORTRANGE(""https://docs.google.com/spreadsheets/d/11923uPwbBZFjjGgGUA6NLw09EwE0CqkOc4q9oUmW1yo/edit?usp=sharing"",""พิษณุโลก!J58"")"),0)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IFERROR(__xludf.DUMMYFUNCTION("IMPORTRANGE(""https://docs.google.com/spreadsheets/d/11923uPwbBZFjjGgGUA6NLw09EwE0CqkOc4q9oUmW1yo/edit?usp=sharing"",""พิษณุโลก!J59"")"),0)</f>
        <v>0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IFERROR(__xludf.DUMMYFUNCTION("IMPORTRANGE(""https://docs.google.com/spreadsheets/d/11923uPwbBZFjjGgGUA6NLw09EwE0CqkOc4q9oUmW1yo/edit?usp=sharing"",""พิษณุโลก!J60"")"),0)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IFERROR(__xludf.DUMMYFUNCTION("IMPORTRANGE(""https://docs.google.com/spreadsheets/d/11923uPwbBZFjjGgGUA6NLw09EwE0CqkOc4q9oUmW1yo/edit?usp=sharing"",""พิษณุโลก!J61"")"),0)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IFERROR(__xludf.DUMMYFUNCTION("IMPORTRANGE(""https://docs.google.com/spreadsheets/d/11923uPwbBZFjjGgGUA6NLw09EwE0CqkOc4q9oUmW1yo/edit?usp=sharing"",""พิษณุโลก!I62"")"),0)</f>
        <v>0</v>
      </c>
      <c r="J132" s="203">
        <f ca="1">IFERROR(__xludf.DUMMYFUNCTION("IMPORTRANGE(""https://docs.google.com/spreadsheets/d/11923uPwbBZFjjGgGUA6NLw09EwE0CqkOc4q9oUmW1yo/edit?usp=sharing"",""พิษณุโลก!J62"")"),0)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IFERROR(__xludf.DUMMYFUNCTION("IMPORTRANGE(""https://docs.google.com/spreadsheets/d/11923uPwbBZFjjGgGUA6NLw09EwE0CqkOc4q9oUmW1yo/edit?usp=sharing"",""พิษณุโลก!I63"")"),0)</f>
        <v>0</v>
      </c>
      <c r="J133" s="203">
        <f ca="1">IFERROR(__xludf.DUMMYFUNCTION("IMPORTRANGE(""https://docs.google.com/spreadsheets/d/11923uPwbBZFjjGgGUA6NLw09EwE0CqkOc4q9oUmW1yo/edit?usp=sharing"",""พิษณุโลก!J63"")"),0)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IFERROR(__xludf.DUMMYFUNCTION("IMPORTRANGE(""https://docs.google.com/spreadsheets/d/11923uPwbBZFjjGgGUA6NLw09EwE0CqkOc4q9oUmW1yo/edit?usp=sharing"",""พิษณุโลก!J64"")"),0)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IFERROR(__xludf.DUMMYFUNCTION("IMPORTRANGE(""https://docs.google.com/spreadsheets/d/11923uPwbBZFjjGgGUA6NLw09EwE0CqkOc4q9oUmW1yo/edit?usp=sharing"",""พิษณุโลก!J65"")"),0)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IFERROR(__xludf.DUMMYFUNCTION("IMPORTRANGE(""https://docs.google.com/spreadsheets/d/11923uPwbBZFjjGgGUA6NLw09EwE0CqkOc4q9oUmW1yo/edit?usp=sharing"",""พิษณุโลก!I68"")"),15)</f>
        <v>15</v>
      </c>
      <c r="J138" s="266">
        <f ca="1">IFERROR(__xludf.DUMMYFUNCTION("IMPORTRANGE(""https://docs.google.com/spreadsheets/d/11923uPwbBZFjjGgGUA6NLw09EwE0CqkOc4q9oUmW1yo/edit?usp=sharing"",""พิษณุโลก!J68"")"),15)</f>
        <v>15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348000</v>
      </c>
      <c r="M140" s="151">
        <f t="shared" ca="1" si="64"/>
        <v>200750</v>
      </c>
      <c r="N140" s="151">
        <f t="shared" ca="1" si="64"/>
        <v>154866</v>
      </c>
      <c r="O140" s="150">
        <f t="shared" ref="O140:O142" ca="1" si="65">IF(L140&gt;0,N140*100/L140,0)</f>
        <v>44.501724137931035</v>
      </c>
      <c r="P140" s="150">
        <f t="shared" ref="P140:P142" ca="1" si="66">IF(M140&gt;0,N140*100/M140,0)</f>
        <v>77.143711083437111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348000</v>
      </c>
      <c r="M142" s="87">
        <f t="shared" ca="1" si="68"/>
        <v>200750</v>
      </c>
      <c r="N142" s="87">
        <f t="shared" ca="1" si="68"/>
        <v>154866</v>
      </c>
      <c r="O142" s="155">
        <f t="shared" ca="1" si="65"/>
        <v>44.501724137931035</v>
      </c>
      <c r="P142" s="155">
        <f t="shared" ca="1" si="66"/>
        <v>77.143711083437111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348000</v>
      </c>
      <c r="M144" s="167">
        <f ca="1">IFERROR(__xludf.DUMMYFUNCTION("IMPORTRANGE(""https://docs.google.com/spreadsheets/d/1Yj_ptqi66GCucihVvJfMjLAmec39IyEx_6qawtMGysU/edit?usp=sharing"",""สบก!BJ28"")"),200750)</f>
        <v>200750</v>
      </c>
      <c r="N144" s="168">
        <f ca="1">IFERROR(__xludf.DUMMYFUNCTION("IMPORTRANGE(""https://docs.google.com/spreadsheets/d/1Yj_ptqi66GCucihVvJfMjLAmec39IyEx_6qawtMGysU/edit?usp=sharing"",""สบก!BK28"")"),154866)</f>
        <v>154866</v>
      </c>
      <c r="O144" s="168">
        <f ca="1">IF(L144&gt;0,N144*100/L144,0)</f>
        <v>44.501724137931035</v>
      </c>
      <c r="P144" s="168">
        <f ca="1">IF(M144&gt;0,N144*100/M144,0)</f>
        <v>77.143711083437111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IFERROR(__xludf.DUMMYFUNCTION("IMPORTRANGE(""https://docs.google.com/spreadsheets/d/1Yj_ptqi66GCucihVvJfMjLAmec39IyEx_6qawtMGysU/edit?usp=sharing"",""สบก!BF28"")"),264000)</f>
        <v>264000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IFERROR(__xludf.DUMMYFUNCTION("IMPORTRANGE(""https://docs.google.com/spreadsheets/d/1Yj_ptqi66GCucihVvJfMjLAmec39IyEx_6qawtMGysU/edit?usp=sharing"",""สบก!BG28"")"),84000)</f>
        <v>84000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IFERROR(__xludf.DUMMYFUNCTION("IMPORTRANGE(""https://docs.google.com/spreadsheets/d/1Yj_ptqi66GCucihVvJfMjLAmec39IyEx_6qawtMGysU/edit?usp=sharing"",""สบก!BH28"")"),0)</f>
        <v>0</v>
      </c>
      <c r="M148" s="49"/>
      <c r="N148" s="49">
        <f ca="1">IFERROR(__xludf.DUMMYFUNCTION("IMPORTRANGE(""https://docs.google.com/spreadsheets/d/1Yj_ptqi66GCucihVvJfMjLAmec39IyEx_6qawtMGysU/edit?usp=sharing"",""สบก!BL28"")"),0)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IFERROR(__xludf.DUMMYFUNCTION("IMPORTRANGE(""https://docs.google.com/spreadsheets/d/11923uPwbBZFjjGgGUA6NLw09EwE0CqkOc4q9oUmW1yo/edit?usp=sharing"",""พิษณุโลก!I74"")"),4)</f>
        <v>4</v>
      </c>
      <c r="J149" s="274">
        <f ca="1">IFERROR(__xludf.DUMMYFUNCTION("IMPORTRANGE(""https://docs.google.com/spreadsheets/d/11923uPwbBZFjjGgGUA6NLw09EwE0CqkOc4q9oUmW1yo/edit?usp=sharing"",""พิษณุโลก!J74"")"),2)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IFERROR(__xludf.DUMMYFUNCTION("IMPORTRANGE(""https://docs.google.com/spreadsheets/d/11923uPwbBZFjjGgGUA6NLw09EwE0CqkOc4q9oUmW1yo/edit?usp=sharing"",""พิษณุโลก!J79"")"),0)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IFERROR(__xludf.DUMMYFUNCTION("IMPORTRANGE(""https://docs.google.com/spreadsheets/d/11923uPwbBZFjjGgGUA6NLw09EwE0CqkOc4q9oUmW1yo/edit?usp=sharing"",""พิษณุโลก!J80"")"),1)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IFERROR(__xludf.DUMMYFUNCTION("IMPORTRANGE(""https://docs.google.com/spreadsheets/d/11923uPwbBZFjjGgGUA6NLw09EwE0CqkOc4q9oUmW1yo/edit?usp=sharing"",""พิษณุโลก!J81"")"),0)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IFERROR(__xludf.DUMMYFUNCTION("IMPORTRANGE(""https://docs.google.com/spreadsheets/d/11923uPwbBZFjjGgGUA6NLw09EwE0CqkOc4q9oUmW1yo/edit?usp=sharing"",""พิษณุโลก!J82"")"),1)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IFERROR(__xludf.DUMMYFUNCTION("IMPORTRANGE(""https://docs.google.com/spreadsheets/d/11923uPwbBZFjjGgGUA6NLw09EwE0CqkOc4q9oUmW1yo/edit?usp=sharing"",""พิษณุโลก!I83"")"),4)</f>
        <v>4</v>
      </c>
      <c r="J158" s="188">
        <f ca="1">IFERROR(__xludf.DUMMYFUNCTION("IMPORTRANGE(""https://docs.google.com/spreadsheets/d/11923uPwbBZFjjGgGUA6NLw09EwE0CqkOc4q9oUmW1yo/edit?usp=sharing"",""พิษณุโลก!J83"")"),2)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IFERROR(__xludf.DUMMYFUNCTION("IMPORTRANGE(""https://docs.google.com/spreadsheets/d/11923uPwbBZFjjGgGUA6NLw09EwE0CqkOc4q9oUmW1yo/edit?usp=sharing"",""พิษณุโลก!J84"")"),127)</f>
        <v>127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IFERROR(__xludf.DUMMYFUNCTION("IMPORTRANGE(""https://docs.google.com/spreadsheets/d/11923uPwbBZFjjGgGUA6NLw09EwE0CqkOc4q9oUmW1yo/edit?usp=sharing"",""พิษณุโลก!J85"")"),127)</f>
        <v>127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IFERROR(__xludf.DUMMYFUNCTION("IMPORTRANGE(""https://docs.google.com/spreadsheets/d/11923uPwbBZFjjGgGUA6NLw09EwE0CqkOc4q9oUmW1yo/edit?usp=sharing"",""พิษณุโลก!J86"")"),0)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IFERROR(__xludf.DUMMYFUNCTION("IMPORTRANGE(""https://docs.google.com/spreadsheets/d/11923uPwbBZFjjGgGUA6NLw09EwE0CqkOc4q9oUmW1yo/edit?usp=sharing"",""พิษณุโลก!J87"")"),0)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IFERROR(__xludf.DUMMYFUNCTION("IMPORTRANGE(""https://docs.google.com/spreadsheets/d/11923uPwbBZFjjGgGUA6NLw09EwE0CqkOc4q9oUmW1yo/edit?usp=sharing"",""พิษณุโลก!J88"")"),0)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IFERROR(__xludf.DUMMYFUNCTION("IMPORTRANGE(""https://docs.google.com/spreadsheets/d/11923uPwbBZFjjGgGUA6NLw09EwE0CqkOc4q9oUmW1yo/edit?usp=sharing"",""พิษณุโลก!I89"")"),3)</f>
        <v>3</v>
      </c>
      <c r="J164" s="282">
        <f ca="1">IFERROR(__xludf.DUMMYFUNCTION("IMPORTRANGE(""https://docs.google.com/spreadsheets/d/11923uPwbBZFjjGgGUA6NLw09EwE0CqkOc4q9oUmW1yo/edit?usp=sharing"",""พิษณุโลก!J89"")"),0)</f>
        <v>0</v>
      </c>
      <c r="K164" s="283">
        <f ca="1">IF(I164&gt;0,J164*100/I164,0)</f>
        <v>0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IFERROR(__xludf.DUMMYFUNCTION("IMPORTRANGE(""https://docs.google.com/spreadsheets/d/11923uPwbBZFjjGgGUA6NLw09EwE0CqkOc4q9oUmW1yo/edit?usp=sharing"",""พิษณุโลก!J94"")"),0)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IFERROR(__xludf.DUMMYFUNCTION("IMPORTRANGE(""https://docs.google.com/spreadsheets/d/11923uPwbBZFjjGgGUA6NLw09EwE0CqkOc4q9oUmW1yo/edit?usp=sharing"",""พิษณุโลก!J95"")"),1)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IFERROR(__xludf.DUMMYFUNCTION("IMPORTRANGE(""https://docs.google.com/spreadsheets/d/11923uPwbBZFjjGgGUA6NLw09EwE0CqkOc4q9oUmW1yo/edit?usp=sharing"",""พิษณุโลก!J96"")"),0)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IFERROR(__xludf.DUMMYFUNCTION("IMPORTRANGE(""https://docs.google.com/spreadsheets/d/11923uPwbBZFjjGgGUA6NLw09EwE0CqkOc4q9oUmW1yo/edit?usp=sharing"",""พิษณุโลก!J97"")"),0)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IFERROR(__xludf.DUMMYFUNCTION("IMPORTRANGE(""https://docs.google.com/spreadsheets/d/11923uPwbBZFjjGgGUA6NLw09EwE0CqkOc4q9oUmW1yo/edit?usp=sharing"",""พิษณุโลก!I98"")"),3)</f>
        <v>3</v>
      </c>
      <c r="J173" s="188">
        <f ca="1">IFERROR(__xludf.DUMMYFUNCTION("IMPORTRANGE(""https://docs.google.com/spreadsheets/d/11923uPwbBZFjjGgGUA6NLw09EwE0CqkOc4q9oUmW1yo/edit?usp=sharing"",""พิษณุโลก!J98"")"),0)</f>
        <v>0</v>
      </c>
      <c r="K173" s="163">
        <f ca="1">IF(I173&gt;0,J173*100/I173,0)</f>
        <v>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IFERROR(__xludf.DUMMYFUNCTION("IMPORTRANGE(""https://docs.google.com/spreadsheets/d/11923uPwbBZFjjGgGUA6NLw09EwE0CqkOc4q9oUmW1yo/edit?usp=sharing"",""พิษณุโลก!J99"")"),0)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IFERROR(__xludf.DUMMYFUNCTION("IMPORTRANGE(""https://docs.google.com/spreadsheets/d/11923uPwbBZFjjGgGUA6NLw09EwE0CqkOc4q9oUmW1yo/edit?usp=sharing"",""พิษณุโลก!J100"")"),0)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IFERROR(__xludf.DUMMYFUNCTION("IMPORTRANGE(""https://docs.google.com/spreadsheets/d/11923uPwbBZFjjGgGUA6NLw09EwE0CqkOc4q9oUmW1yo/edit?usp=sharing"",""พิษณุโลก!I101"")"),0)</f>
        <v>0</v>
      </c>
      <c r="J176" s="282">
        <f ca="1">IFERROR(__xludf.DUMMYFUNCTION("IMPORTRANGE(""https://docs.google.com/spreadsheets/d/11923uPwbBZFjjGgGUA6NLw09EwE0CqkOc4q9oUmW1yo/edit?usp=sharing"",""พิษณุโลก!J101"")"),0)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IFERROR(__xludf.DUMMYFUNCTION("IMPORTRANGE(""https://docs.google.com/spreadsheets/d/11923uPwbBZFjjGgGUA6NLw09EwE0CqkOc4q9oUmW1yo/edit?usp=sharing"",""พิษณุโลก!J106"")"),0)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IFERROR(__xludf.DUMMYFUNCTION("IMPORTRANGE(""https://docs.google.com/spreadsheets/d/11923uPwbBZFjjGgGUA6NLw09EwE0CqkOc4q9oUmW1yo/edit?usp=sharing"",""พิษณุโลก!J107"")"),0)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IFERROR(__xludf.DUMMYFUNCTION("IMPORTRANGE(""https://docs.google.com/spreadsheets/d/11923uPwbBZFjjGgGUA6NLw09EwE0CqkOc4q9oUmW1yo/edit?usp=sharing"",""พิษณุโลก!J108"")"),0)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IFERROR(__xludf.DUMMYFUNCTION("IMPORTRANGE(""https://docs.google.com/spreadsheets/d/11923uPwbBZFjjGgGUA6NLw09EwE0CqkOc4q9oUmW1yo/edit?usp=sharing"",""พิษณุโลก!J109"")"),0)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IFERROR(__xludf.DUMMYFUNCTION("IMPORTRANGE(""https://docs.google.com/spreadsheets/d/11923uPwbBZFjjGgGUA6NLw09EwE0CqkOc4q9oUmW1yo/edit?usp=sharing"",""พิษณุโลก!I110"")"),0)</f>
        <v>0</v>
      </c>
      <c r="J185" s="203">
        <f ca="1">IFERROR(__xludf.DUMMYFUNCTION("IMPORTRANGE(""https://docs.google.com/spreadsheets/d/11923uPwbBZFjjGgGUA6NLw09EwE0CqkOc4q9oUmW1yo/edit?usp=sharing"",""พิษณุโลก!J110"")"),0)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IFERROR(__xludf.DUMMYFUNCTION("IMPORTRANGE(""https://docs.google.com/spreadsheets/d/11923uPwbBZFjjGgGUA6NLw09EwE0CqkOc4q9oUmW1yo/edit?usp=sharing"",""พิษณุโลก!I111"")"),0)</f>
        <v>0</v>
      </c>
      <c r="J186" s="203">
        <f ca="1">IFERROR(__xludf.DUMMYFUNCTION("IMPORTRANGE(""https://docs.google.com/spreadsheets/d/11923uPwbBZFjjGgGUA6NLw09EwE0CqkOc4q9oUmW1yo/edit?usp=sharing"",""พิษณุโลก!J111"")"),0)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IFERROR(__xludf.DUMMYFUNCTION("IMPORTRANGE(""https://docs.google.com/spreadsheets/d/11923uPwbBZFjjGgGUA6NLw09EwE0CqkOc4q9oUmW1yo/edit?usp=sharing"",""พิษณุโลก!J112"")"),0)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IFERROR(__xludf.DUMMYFUNCTION("IMPORTRANGE(""https://docs.google.com/spreadsheets/d/11923uPwbBZFjjGgGUA6NLw09EwE0CqkOc4q9oUmW1yo/edit?usp=sharing"",""พิษณุโลก!J113"")"),0)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IFERROR(__xludf.DUMMYFUNCTION("IMPORTRANGE(""https://docs.google.com/spreadsheets/d/11923uPwbBZFjjGgGUA6NLw09EwE0CqkOc4q9oUmW1yo/edit?usp=sharing"",""พิษณุโลก!I114"")"),50000)</f>
        <v>50000</v>
      </c>
      <c r="J189" s="282">
        <f ca="1">IFERROR(__xludf.DUMMYFUNCTION("IMPORTRANGE(""https://docs.google.com/spreadsheets/d/11923uPwbBZFjjGgGUA6NLw09EwE0CqkOc4q9oUmW1yo/edit?usp=sharing"",""พิษณุโลก!J114"")"),0)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IFERROR(__xludf.DUMMYFUNCTION("IMPORTRANGE(""https://docs.google.com/spreadsheets/d/11923uPwbBZFjjGgGUA6NLw09EwE0CqkOc4q9oUmW1yo/edit?usp=sharing"",""พิษณุโลก!J119"")"),0)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IFERROR(__xludf.DUMMYFUNCTION("IMPORTRANGE(""https://docs.google.com/spreadsheets/d/11923uPwbBZFjjGgGUA6NLw09EwE0CqkOc4q9oUmW1yo/edit?usp=sharing"",""พิษณุโลก!J120"")"),1)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IFERROR(__xludf.DUMMYFUNCTION("IMPORTRANGE(""https://docs.google.com/spreadsheets/d/11923uPwbBZFjjGgGUA6NLw09EwE0CqkOc4q9oUmW1yo/edit?usp=sharing"",""พิษณุโลก!J121"")"),1)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IFERROR(__xludf.DUMMYFUNCTION("IMPORTRANGE(""https://docs.google.com/spreadsheets/d/11923uPwbBZFjjGgGUA6NLw09EwE0CqkOc4q9oUmW1yo/edit?usp=sharing"",""พิษณุโลก!J122"")"),1)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IFERROR(__xludf.DUMMYFUNCTION("IMPORTRANGE(""https://docs.google.com/spreadsheets/d/11923uPwbBZFjjGgGUA6NLw09EwE0CqkOc4q9oUmW1yo/edit?usp=sharing"",""พิษณุโลก!I124"")"),50000)</f>
        <v>50000</v>
      </c>
      <c r="J199" s="188">
        <f ca="1">IFERROR(__xludf.DUMMYFUNCTION("IMPORTRANGE(""https://docs.google.com/spreadsheets/d/11923uPwbBZFjjGgGUA6NLw09EwE0CqkOc4q9oUmW1yo/edit?usp=sharing"",""พิษณุโลก!J124"")"),0)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IFERROR(__xludf.DUMMYFUNCTION("IMPORTRANGE(""https://docs.google.com/spreadsheets/d/11923uPwbBZFjjGgGUA6NLw09EwE0CqkOc4q9oUmW1yo/edit?usp=sharing"",""พิษณุโลก!I125"")"),50000)</f>
        <v>50000</v>
      </c>
      <c r="J200" s="188">
        <f ca="1">IFERROR(__xludf.DUMMYFUNCTION("IMPORTRANGE(""https://docs.google.com/spreadsheets/d/11923uPwbBZFjjGgGUA6NLw09EwE0CqkOc4q9oUmW1yo/edit?usp=sharing"",""พิษณุโลก!J125"")"),0)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IFERROR(__xludf.DUMMYFUNCTION("IMPORTRANGE(""https://docs.google.com/spreadsheets/d/11923uPwbBZFjjGgGUA6NLw09EwE0CqkOc4q9oUmW1yo/edit?usp=sharing"",""พิษณุโลก!I126"")"),15)</f>
        <v>15</v>
      </c>
      <c r="J201" s="188">
        <f ca="1">IFERROR(__xludf.DUMMYFUNCTION("IMPORTRANGE(""https://docs.google.com/spreadsheets/d/11923uPwbBZFjjGgGUA6NLw09EwE0CqkOc4q9oUmW1yo/edit?usp=sharing"",""พิษณุโลก!J126"")"),15)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IFERROR(__xludf.DUMMYFUNCTION("IMPORTRANGE(""https://docs.google.com/spreadsheets/d/11923uPwbBZFjjGgGUA6NLw09EwE0CqkOc4q9oUmW1yo/edit?usp=sharing"",""พิษณุโลก!J127"")"),0)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IFERROR(__xludf.DUMMYFUNCTION("IMPORTRANGE(""https://docs.google.com/spreadsheets/d/11923uPwbBZFjjGgGUA6NLw09EwE0CqkOc4q9oUmW1yo/edit?usp=sharing"",""พิษณุโลก!J128"")"),0)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IFERROR(__xludf.DUMMYFUNCTION("IMPORTRANGE(""https://docs.google.com/spreadsheets/d/11923uPwbBZFjjGgGUA6NLw09EwE0CqkOc4q9oUmW1yo/edit?usp=sharing"",""พิษณุโลก!I129"")"),0)</f>
        <v>0</v>
      </c>
      <c r="J204" s="282">
        <f ca="1">IFERROR(__xludf.DUMMYFUNCTION("IMPORTRANGE(""https://docs.google.com/spreadsheets/d/11923uPwbBZFjjGgGUA6NLw09EwE0CqkOc4q9oUmW1yo/edit?usp=sharing"",""พิษณุโลก!J129"")"),0)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IFERROR(__xludf.DUMMYFUNCTION("IMPORTRANGE(""https://docs.google.com/spreadsheets/d/11923uPwbBZFjjGgGUA6NLw09EwE0CqkOc4q9oUmW1yo/edit?usp=sharing"",""พิษณุโลก!J134"")"),0)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IFERROR(__xludf.DUMMYFUNCTION("IMPORTRANGE(""https://docs.google.com/spreadsheets/d/11923uPwbBZFjjGgGUA6NLw09EwE0CqkOc4q9oUmW1yo/edit?usp=sharing"",""พิษณุโลก!J135"")"),0)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IFERROR(__xludf.DUMMYFUNCTION("IMPORTRANGE(""https://docs.google.com/spreadsheets/d/11923uPwbBZFjjGgGUA6NLw09EwE0CqkOc4q9oUmW1yo/edit?usp=sharing"",""พิษณุโลก!J136"")"),0)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IFERROR(__xludf.DUMMYFUNCTION("IMPORTRANGE(""https://docs.google.com/spreadsheets/d/11923uPwbBZFjjGgGUA6NLw09EwE0CqkOc4q9oUmW1yo/edit?usp=sharing"",""พิษณุโลก!J137"")"),0)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IFERROR(__xludf.DUMMYFUNCTION("IMPORTRANGE(""https://docs.google.com/spreadsheets/d/11923uPwbBZFjjGgGUA6NLw09EwE0CqkOc4q9oUmW1yo/edit?usp=sharing"",""พิษณุโลก!I138"")"),0)</f>
        <v>0</v>
      </c>
      <c r="J213" s="203">
        <f ca="1">IFERROR(__xludf.DUMMYFUNCTION("IMPORTRANGE(""https://docs.google.com/spreadsheets/d/11923uPwbBZFjjGgGUA6NLw09EwE0CqkOc4q9oUmW1yo/edit?usp=sharing"",""พิษณุโลก!J138"")"),0)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IFERROR(__xludf.DUMMYFUNCTION("IMPORTRANGE(""https://docs.google.com/spreadsheets/d/11923uPwbBZFjjGgGUA6NLw09EwE0CqkOc4q9oUmW1yo/edit?usp=sharing"",""พิษณุโลก!I140"")"),0)</f>
        <v>0</v>
      </c>
      <c r="J215" s="203">
        <f ca="1">IFERROR(__xludf.DUMMYFUNCTION("IMPORTRANGE(""https://docs.google.com/spreadsheets/d/11923uPwbBZFjjGgGUA6NLw09EwE0CqkOc4q9oUmW1yo/edit?usp=sharing"",""พิษณุโลก!J140"")"),0)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IFERROR(__xludf.DUMMYFUNCTION("IMPORTRANGE(""https://docs.google.com/spreadsheets/d/11923uPwbBZFjjGgGUA6NLw09EwE0CqkOc4q9oUmW1yo/edit?usp=sharing"",""พิษณุโลก!I141"")"),0)</f>
        <v>0</v>
      </c>
      <c r="J216" s="203">
        <f ca="1">IFERROR(__xludf.DUMMYFUNCTION("IMPORTRANGE(""https://docs.google.com/spreadsheets/d/11923uPwbBZFjjGgGUA6NLw09EwE0CqkOc4q9oUmW1yo/edit?usp=sharing"",""พิษณุโลก!J141"")"),0)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IFERROR(__xludf.DUMMYFUNCTION("IMPORTRANGE(""https://docs.google.com/spreadsheets/d/11923uPwbBZFjjGgGUA6NLw09EwE0CqkOc4q9oUmW1yo/edit?usp=sharing"",""พิษณุโลก!J142"")"),0)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IFERROR(__xludf.DUMMYFUNCTION("IMPORTRANGE(""https://docs.google.com/spreadsheets/d/11923uPwbBZFjjGgGUA6NLw09EwE0CqkOc4q9oUmW1yo/edit?usp=sharing"",""พิษณุโลก!J143"")"),0)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IFERROR(__xludf.DUMMYFUNCTION("IMPORTRANGE(""https://docs.google.com/spreadsheets/d/11923uPwbBZFjjGgGUA6NLw09EwE0CqkOc4q9oUmW1yo/edit?usp=sharing"",""พิษณุโลก!I144"")"),0)</f>
        <v>0</v>
      </c>
      <c r="J219" s="266">
        <f ca="1">IFERROR(__xludf.DUMMYFUNCTION("IMPORTRANGE(""https://docs.google.com/spreadsheets/d/11923uPwbBZFjjGgGUA6NLw09EwE0CqkOc4q9oUmW1yo/edit?usp=sharing"",""พิษณุโลก!J144"")"),0)</f>
        <v>0</v>
      </c>
      <c r="K219" s="267">
        <f ca="1">IF(I219&gt;0,J219*100/I219,0)</f>
        <v>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0</v>
      </c>
      <c r="M220" s="151">
        <f t="shared" ca="1" si="72"/>
        <v>0</v>
      </c>
      <c r="N220" s="151">
        <f t="shared" ca="1" si="72"/>
        <v>0</v>
      </c>
      <c r="O220" s="150">
        <f t="shared" ref="O220:O222" ca="1" si="73">IF(L220&gt;0,N220*100/L220,0)</f>
        <v>0</v>
      </c>
      <c r="P220" s="150">
        <f t="shared" ref="P220:P222" ca="1" si="74">IF(M220&gt;0,N220*100/M220,0)</f>
        <v>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0</v>
      </c>
      <c r="M222" s="87">
        <f t="shared" ca="1" si="76"/>
        <v>0</v>
      </c>
      <c r="N222" s="87">
        <f t="shared" ca="1" si="76"/>
        <v>0</v>
      </c>
      <c r="O222" s="155">
        <f t="shared" ca="1" si="73"/>
        <v>0</v>
      </c>
      <c r="P222" s="155">
        <f t="shared" ca="1" si="74"/>
        <v>0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0</v>
      </c>
      <c r="M224" s="167">
        <f ca="1">IFERROR(__xludf.DUMMYFUNCTION("IMPORTRANGE(""https://docs.google.com/spreadsheets/d/1Yj_ptqi66GCucihVvJfMjLAmec39IyEx_6qawtMGysU/edit?usp=sharing"",""สบก!BS28"")"),0)</f>
        <v>0</v>
      </c>
      <c r="N224" s="168">
        <f ca="1">IFERROR(__xludf.DUMMYFUNCTION("IMPORTRANGE(""https://docs.google.com/spreadsheets/d/1Yj_ptqi66GCucihVvJfMjLAmec39IyEx_6qawtMGysU/edit?usp=sharing"",""สบก!BT28"")"),0)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IFERROR(__xludf.DUMMYFUNCTION("IMPORTRANGE(""https://docs.google.com/spreadsheets/d/1Yj_ptqi66GCucihVvJfMjLAmec39IyEx_6qawtMGysU/edit?usp=sharing"",""สบก!BO28"")"),0)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IFERROR(__xludf.DUMMYFUNCTION("IMPORTRANGE(""https://docs.google.com/spreadsheets/d/1Yj_ptqi66GCucihVvJfMjLAmec39IyEx_6qawtMGysU/edit?usp=sharing"",""สบก!BP28"")"),0)</f>
        <v>0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IFERROR(__xludf.DUMMYFUNCTION("IMPORTRANGE(""https://docs.google.com/spreadsheets/d/1Yj_ptqi66GCucihVvJfMjLAmec39IyEx_6qawtMGysU/edit?usp=sharing"",""สบก!BQ28"")"),0)</f>
        <v>0</v>
      </c>
      <c r="M228" s="49"/>
      <c r="N228" s="49">
        <f ca="1">IFERROR(__xludf.DUMMYFUNCTION("IMPORTRANGE(""https://docs.google.com/spreadsheets/d/1Yj_ptqi66GCucihVvJfMjLAmec39IyEx_6qawtMGysU/edit?usp=sharing"",""สบก!BU28"")"),0)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IFERROR(__xludf.DUMMYFUNCTION("IMPORTRANGE(""https://docs.google.com/spreadsheets/d/11923uPwbBZFjjGgGUA6NLw09EwE0CqkOc4q9oUmW1yo/edit?usp=sharing"",""พิษณุโลก!I149"")"),0)</f>
        <v>0</v>
      </c>
      <c r="J229" s="266">
        <f ca="1">IFERROR(__xludf.DUMMYFUNCTION("IMPORTRANGE(""https://docs.google.com/spreadsheets/d/11923uPwbBZFjjGgGUA6NLw09EwE0CqkOc4q9oUmW1yo/edit?usp=sharing"",""พิษณุโลก!J149"")"),0)</f>
        <v>0</v>
      </c>
      <c r="K229" s="267">
        <f ca="1">IF(I229&gt;0,J229*100/I229,0)</f>
        <v>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IFERROR(__xludf.DUMMYFUNCTION("IMPORTRANGE(""https://docs.google.com/spreadsheets/d/11923uPwbBZFjjGgGUA6NLw09EwE0CqkOc4q9oUmW1yo/edit?usp=sharing"",""พิษณุโลก!J151"")"),0)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IFERROR(__xludf.DUMMYFUNCTION("IMPORTRANGE(""https://docs.google.com/spreadsheets/d/11923uPwbBZFjjGgGUA6NLw09EwE0CqkOc4q9oUmW1yo/edit?usp=sharing"",""พิษณุโลก!J152"")"),0)</f>
        <v>0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IFERROR(__xludf.DUMMYFUNCTION("IMPORTRANGE(""https://docs.google.com/spreadsheets/d/11923uPwbBZFjjGgGUA6NLw09EwE0CqkOc4q9oUmW1yo/edit?usp=sharing"",""พิษณุโลก!J153"")"),0)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IFERROR(__xludf.DUMMYFUNCTION("IMPORTRANGE(""https://docs.google.com/spreadsheets/d/11923uPwbBZFjjGgGUA6NLw09EwE0CqkOc4q9oUmW1yo/edit?usp=sharing"",""พิษณุโลก!J154"")"),0)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IFERROR(__xludf.DUMMYFUNCTION("IMPORTRANGE(""https://docs.google.com/spreadsheets/d/11923uPwbBZFjjGgGUA6NLw09EwE0CqkOc4q9oUmW1yo/edit?usp=sharing"",""พิษณุโลก!I155"")"),0)</f>
        <v>0</v>
      </c>
      <c r="J235" s="188">
        <f ca="1">IFERROR(__xludf.DUMMYFUNCTION("IMPORTRANGE(""https://docs.google.com/spreadsheets/d/11923uPwbBZFjjGgGUA6NLw09EwE0CqkOc4q9oUmW1yo/edit?usp=sharing"",""พิษณุโลก!J155"")"),0)</f>
        <v>0</v>
      </c>
      <c r="K235" s="163">
        <f ca="1">IF(I235&gt;0,J235*100/I235,0)</f>
        <v>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IFERROR(__xludf.DUMMYFUNCTION("IMPORTRANGE(""https://docs.google.com/spreadsheets/d/11923uPwbBZFjjGgGUA6NLw09EwE0CqkOc4q9oUmW1yo/edit?usp=sharing"",""พิษณุโลก!J156"")"),0)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IFERROR(__xludf.DUMMYFUNCTION("IMPORTRANGE(""https://docs.google.com/spreadsheets/d/11923uPwbBZFjjGgGUA6NLw09EwE0CqkOc4q9oUmW1yo/edit?usp=sharing"",""พิษณุโลก!J157"")"),0)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IFERROR(__xludf.DUMMYFUNCTION("IMPORTRANGE(""https://docs.google.com/spreadsheets/d/11923uPwbBZFjjGgGUA6NLw09EwE0CqkOc4q9oUmW1yo/edit?usp=sharing"",""พิษณุโลก!I158"")"),0)</f>
        <v>0</v>
      </c>
      <c r="J238" s="266">
        <f ca="1">IFERROR(__xludf.DUMMYFUNCTION("IMPORTRANGE(""https://docs.google.com/spreadsheets/d/11923uPwbBZFjjGgGUA6NLw09EwE0CqkOc4q9oUmW1yo/edit?usp=sharing"",""พิษณุโลก!J158"")"),0)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IFERROR(__xludf.DUMMYFUNCTION("IMPORTRANGE(""https://docs.google.com/spreadsheets/d/11923uPwbBZFjjGgGUA6NLw09EwE0CqkOc4q9oUmW1yo/edit?usp=sharing"",""พิษณุโลก!J159"")"),"")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IFERROR(__xludf.DUMMYFUNCTION("IMPORTRANGE(""https://docs.google.com/spreadsheets/d/11923uPwbBZFjjGgGUA6NLw09EwE0CqkOc4q9oUmW1yo/edit?usp=sharing"",""พิษณุโลก!J161"")"),0)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IFERROR(__xludf.DUMMYFUNCTION("IMPORTRANGE(""https://docs.google.com/spreadsheets/d/11923uPwbBZFjjGgGUA6NLw09EwE0CqkOc4q9oUmW1yo/edit?usp=sharing"",""พิษณุโลก!J162"")"),0)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IFERROR(__xludf.DUMMYFUNCTION("IMPORTRANGE(""https://docs.google.com/spreadsheets/d/11923uPwbBZFjjGgGUA6NLw09EwE0CqkOc4q9oUmW1yo/edit?usp=sharing"",""พิษณุโลก!J163"")"),0)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IFERROR(__xludf.DUMMYFUNCTION("IMPORTRANGE(""https://docs.google.com/spreadsheets/d/11923uPwbBZFjjGgGUA6NLw09EwE0CqkOc4q9oUmW1yo/edit?usp=sharing"",""พิษณุโลก!I164"")"),0)</f>
        <v>0</v>
      </c>
      <c r="J244" s="187">
        <f ca="1">IFERROR(__xludf.DUMMYFUNCTION("IMPORTRANGE(""https://docs.google.com/spreadsheets/d/11923uPwbBZFjjGgGUA6NLw09EwE0CqkOc4q9oUmW1yo/edit?usp=sharing"",""พิษณุโลก!J164"")"),0)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IFERROR(__xludf.DUMMYFUNCTION("IMPORTRANGE(""https://docs.google.com/spreadsheets/d/11923uPwbBZFjjGgGUA6NLw09EwE0CqkOc4q9oUmW1yo/edit?usp=sharing"",""พิษณุโลก!J165"")"),0)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IFERROR(__xludf.DUMMYFUNCTION("IMPORTRANGE(""https://docs.google.com/spreadsheets/d/11923uPwbBZFjjGgGUA6NLw09EwE0CqkOc4q9oUmW1yo/edit?usp=sharing"",""พิษณุโลก!J166"")"),0)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IFERROR(__xludf.DUMMYFUNCTION("IMPORTRANGE(""https://docs.google.com/spreadsheets/d/11923uPwbBZFjjGgGUA6NLw09EwE0CqkOc4q9oUmW1yo/edit?usp=sharing"",""พิษณุโลก!I169"")"),0)</f>
        <v>0</v>
      </c>
      <c r="J249" s="314">
        <f ca="1">IFERROR(__xludf.DUMMYFUNCTION("IMPORTRANGE(""https://docs.google.com/spreadsheets/d/11923uPwbBZFjjGgGUA6NLw09EwE0CqkOc4q9oUmW1yo/edit?usp=sharing"",""พิษณุโลก!J169"")"),0)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IFERROR(__xludf.DUMMYFUNCTION("IMPORTRANGE(""https://docs.google.com/spreadsheets/d/1Yj_ptqi66GCucihVvJfMjLAmec39IyEx_6qawtMGysU/edit?usp=sharing"",""สบก!CB28"")"),0)</f>
        <v>0</v>
      </c>
      <c r="N254" s="168">
        <f ca="1">IFERROR(__xludf.DUMMYFUNCTION("IMPORTRANGE(""https://docs.google.com/spreadsheets/d/1Yj_ptqi66GCucihVvJfMjLAmec39IyEx_6qawtMGysU/edit?usp=sharing"",""สบก!CC28"")"),0)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IFERROR(__xludf.DUMMYFUNCTION("IMPORTRANGE(""https://docs.google.com/spreadsheets/d/1Yj_ptqi66GCucihVvJfMjLAmec39IyEx_6qawtMGysU/edit?usp=sharing"",""สบก!BX28"")"),0)</f>
        <v>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IFERROR(__xludf.DUMMYFUNCTION("IMPORTRANGE(""https://docs.google.com/spreadsheets/d/1Yj_ptqi66GCucihVvJfMjLAmec39IyEx_6qawtMGysU/edit?usp=sharing"",""สบก!BY28"")"),0)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IFERROR(__xludf.DUMMYFUNCTION("IMPORTRANGE(""https://docs.google.com/spreadsheets/d/1Yj_ptqi66GCucihVvJfMjLAmec39IyEx_6qawtMGysU/edit?usp=sharing"",""สบก!BZ28"")"),0)</f>
        <v>0</v>
      </c>
      <c r="M258" s="49"/>
      <c r="N258" s="49">
        <f ca="1">IFERROR(__xludf.DUMMYFUNCTION("IMPORTRANGE(""https://docs.google.com/spreadsheets/d/1Yj_ptqi66GCucihVvJfMjLAmec39IyEx_6qawtMGysU/edit?usp=sharing"",""สบก!CD28"")"),0)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IFERROR(__xludf.DUMMYFUNCTION("IMPORTRANGE(""https://docs.google.com/spreadsheets/d/11923uPwbBZFjjGgGUA6NLw09EwE0CqkOc4q9oUmW1yo/edit?usp=sharing"",""พิษณุโลก!J175"")"),0)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IFERROR(__xludf.DUMMYFUNCTION("IMPORTRANGE(""https://docs.google.com/spreadsheets/d/11923uPwbBZFjjGgGUA6NLw09EwE0CqkOc4q9oUmW1yo/edit?usp=sharing"",""พิษณุโลก!J176"")"),0)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IFERROR(__xludf.DUMMYFUNCTION("IMPORTRANGE(""https://docs.google.com/spreadsheets/d/11923uPwbBZFjjGgGUA6NLw09EwE0CqkOc4q9oUmW1yo/edit?usp=sharing"",""พิษณุโลก!J177"")"),0)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IFERROR(__xludf.DUMMYFUNCTION("IMPORTRANGE(""https://docs.google.com/spreadsheets/d/11923uPwbBZFjjGgGUA6NLw09EwE0CqkOc4q9oUmW1yo/edit?usp=sharing"",""พิษณุโลก!J178"")"),0)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IFERROR(__xludf.DUMMYFUNCTION("IMPORTRANGE(""https://docs.google.com/spreadsheets/d/11923uPwbBZFjjGgGUA6NLw09EwE0CqkOc4q9oUmW1yo/edit?usp=sharing"",""พิษณุโลก!I179"")"),0)</f>
        <v>0</v>
      </c>
      <c r="J264" s="188">
        <f ca="1">IFERROR(__xludf.DUMMYFUNCTION("IMPORTRANGE(""https://docs.google.com/spreadsheets/d/11923uPwbBZFjjGgGUA6NLw09EwE0CqkOc4q9oUmW1yo/edit?usp=sharing"",""พิษณุโลก!J179"")"),0)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IFERROR(__xludf.DUMMYFUNCTION("IMPORTRANGE(""https://docs.google.com/spreadsheets/d/11923uPwbBZFjjGgGUA6NLw09EwE0CqkOc4q9oUmW1yo/edit?usp=sharing"",""พิษณุโลก!I180"")"),0)</f>
        <v>0</v>
      </c>
      <c r="J265" s="188">
        <f ca="1">IFERROR(__xludf.DUMMYFUNCTION("IMPORTRANGE(""https://docs.google.com/spreadsheets/d/11923uPwbBZFjjGgGUA6NLw09EwE0CqkOc4q9oUmW1yo/edit?usp=sharing"",""พิษณุโลก!J180"")"),0)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IFERROR(__xludf.DUMMYFUNCTION("IMPORTRANGE(""https://docs.google.com/spreadsheets/d/11923uPwbBZFjjGgGUA6NLw09EwE0CqkOc4q9oUmW1yo/edit?usp=sharing"",""พิษณุโลก!I181"")"),0)</f>
        <v>0</v>
      </c>
      <c r="J266" s="188">
        <f ca="1">IFERROR(__xludf.DUMMYFUNCTION("IMPORTRANGE(""https://docs.google.com/spreadsheets/d/11923uPwbBZFjjGgGUA6NLw09EwE0CqkOc4q9oUmW1yo/edit?usp=sharing"",""พิษณุโลก!J181"")"),0)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IFERROR(__xludf.DUMMYFUNCTION("IMPORTRANGE(""https://docs.google.com/spreadsheets/d/11923uPwbBZFjjGgGUA6NLw09EwE0CqkOc4q9oUmW1yo/edit?usp=sharing"",""พิษณุโลก!I182"")"),0)</f>
        <v>0</v>
      </c>
      <c r="J267" s="188">
        <f ca="1">IFERROR(__xludf.DUMMYFUNCTION("IMPORTRANGE(""https://docs.google.com/spreadsheets/d/11923uPwbBZFjjGgGUA6NLw09EwE0CqkOc4q9oUmW1yo/edit?usp=sharing"",""พิษณุโลก!J182"")"),0)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IFERROR(__xludf.DUMMYFUNCTION("IMPORTRANGE(""https://docs.google.com/spreadsheets/d/11923uPwbBZFjjGgGUA6NLw09EwE0CqkOc4q9oUmW1yo/edit?usp=sharing"",""พิษณุโลก!J183"")"),0)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IFERROR(__xludf.DUMMYFUNCTION("IMPORTRANGE(""https://docs.google.com/spreadsheets/d/11923uPwbBZFjjGgGUA6NLw09EwE0CqkOc4q9oUmW1yo/edit?usp=sharing"",""พิษณุโลก!J184"")"),0)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IFERROR(__xludf.DUMMYFUNCTION("IMPORTRANGE(""https://docs.google.com/spreadsheets/d/11923uPwbBZFjjGgGUA6NLw09EwE0CqkOc4q9oUmW1yo/edit?usp=sharing"",""พิษณุโลก!I185"")"),15)</f>
        <v>15</v>
      </c>
      <c r="J270" s="314">
        <f ca="1">IFERROR(__xludf.DUMMYFUNCTION("IMPORTRANGE(""https://docs.google.com/spreadsheets/d/11923uPwbBZFjjGgGUA6NLw09EwE0CqkOc4q9oUmW1yo/edit?usp=sharing"",""พิษณุโลก!J185"")"),15)</f>
        <v>15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55200</v>
      </c>
      <c r="M271" s="151">
        <f t="shared" ca="1" si="83"/>
        <v>32250</v>
      </c>
      <c r="N271" s="151">
        <f t="shared" ca="1" si="83"/>
        <v>26320</v>
      </c>
      <c r="O271" s="150">
        <f t="shared" ref="O271:O273" ca="1" si="84">IF(L271&gt;0,N271*100/L271,0)</f>
        <v>47.681159420289852</v>
      </c>
      <c r="P271" s="150">
        <f t="shared" ref="P271:P273" ca="1" si="85">IF(M271&gt;0,N271*100/M271,0)</f>
        <v>81.612403100775197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55200</v>
      </c>
      <c r="M273" s="87">
        <f t="shared" ca="1" si="87"/>
        <v>32250</v>
      </c>
      <c r="N273" s="87">
        <f t="shared" ca="1" si="87"/>
        <v>26320</v>
      </c>
      <c r="O273" s="155">
        <f t="shared" ca="1" si="84"/>
        <v>47.681159420289852</v>
      </c>
      <c r="P273" s="155">
        <f t="shared" ca="1" si="85"/>
        <v>81.612403100775197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IFERROR(__xludf.DUMMYFUNCTION("IMPORTRANGE(""https://docs.google.com/spreadsheets/d/1Yj_ptqi66GCucihVvJfMjLAmec39IyEx_6qawtMGysU/edit?usp=sharing"",""สบก!CK28"")"),32250)</f>
        <v>32250</v>
      </c>
      <c r="N275" s="168">
        <f ca="1">IFERROR(__xludf.DUMMYFUNCTION("IMPORTRANGE(""https://docs.google.com/spreadsheets/d/1Yj_ptqi66GCucihVvJfMjLAmec39IyEx_6qawtMGysU/edit?usp=sharing"",""สบก!CL28"")"),26320)</f>
        <v>26320</v>
      </c>
      <c r="O275" s="168">
        <f ca="1">IF(L275&gt;0,N275*100/L275,0)</f>
        <v>47.681159420289852</v>
      </c>
      <c r="P275" s="168">
        <f ca="1">IF(M275&gt;0,N275*100/M275,0)</f>
        <v>81.612403100775197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IFERROR(__xludf.DUMMYFUNCTION("IMPORTRANGE(""https://docs.google.com/spreadsheets/d/1Yj_ptqi66GCucihVvJfMjLAmec39IyEx_6qawtMGysU/edit?usp=sharing"",""สบก!CG28"")"),0)</f>
        <v>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IFERROR(__xludf.DUMMYFUNCTION("IMPORTRANGE(""https://docs.google.com/spreadsheets/d/1Yj_ptqi66GCucihVvJfMjLAmec39IyEx_6qawtMGysU/edit?usp=sharing"",""สบก!CH28"")"),55200)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IFERROR(__xludf.DUMMYFUNCTION("IMPORTRANGE(""https://docs.google.com/spreadsheets/d/1Yj_ptqi66GCucihVvJfMjLAmec39IyEx_6qawtMGysU/edit?usp=sharing"",""สบก!CI28"")"),0)</f>
        <v>0</v>
      </c>
      <c r="M279" s="49"/>
      <c r="N279" s="49">
        <f ca="1">IFERROR(__xludf.DUMMYFUNCTION("IMPORTRANGE(""https://docs.google.com/spreadsheets/d/1Yj_ptqi66GCucihVvJfMjLAmec39IyEx_6qawtMGysU/edit?usp=sharing"",""สบก!CM28"")"),0)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IFERROR(__xludf.DUMMYFUNCTION("IMPORTRANGE(""https://docs.google.com/spreadsheets/d/11923uPwbBZFjjGgGUA6NLw09EwE0CqkOc4q9oUmW1yo/edit?usp=sharing"",""พิษณุโลก!J191"")"),0)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IFERROR(__xludf.DUMMYFUNCTION("IMPORTRANGE(""https://docs.google.com/spreadsheets/d/11923uPwbBZFjjGgGUA6NLw09EwE0CqkOc4q9oUmW1yo/edit?usp=sharing"",""พิษณุโลก!J192"")"),1)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IFERROR(__xludf.DUMMYFUNCTION("IMPORTRANGE(""https://docs.google.com/spreadsheets/d/11923uPwbBZFjjGgGUA6NLw09EwE0CqkOc4q9oUmW1yo/edit?usp=sharing"",""พิษณุโลก!J193"")"),1)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IFERROR(__xludf.DUMMYFUNCTION("IMPORTRANGE(""https://docs.google.com/spreadsheets/d/11923uPwbBZFjjGgGUA6NLw09EwE0CqkOc4q9oUmW1yo/edit?usp=sharing"",""พิษณุโลก!J194"")"),1)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IFERROR(__xludf.DUMMYFUNCTION("IMPORTRANGE(""https://docs.google.com/spreadsheets/d/11923uPwbBZFjjGgGUA6NLw09EwE0CqkOc4q9oUmW1yo/edit?usp=sharing"",""พิษณุโลก!I195"")"),15)</f>
        <v>15</v>
      </c>
      <c r="J285" s="188">
        <f ca="1">IFERROR(__xludf.DUMMYFUNCTION("IMPORTRANGE(""https://docs.google.com/spreadsheets/d/11923uPwbBZFjjGgGUA6NLw09EwE0CqkOc4q9oUmW1yo/edit?usp=sharing"",""พิษณุโลก!J195"")"),15)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IFERROR(__xludf.DUMMYFUNCTION("IMPORTRANGE(""https://docs.google.com/spreadsheets/d/11923uPwbBZFjjGgGUA6NLw09EwE0CqkOc4q9oUmW1yo/edit?usp=sharing"",""พิษณุโลก!J196"")"),0)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IFERROR(__xludf.DUMMYFUNCTION("IMPORTRANGE(""https://docs.google.com/spreadsheets/d/11923uPwbBZFjjGgGUA6NLw09EwE0CqkOc4q9oUmW1yo/edit?usp=sharing"",""พิษณุโลก!J197"")"),0)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IFERROR(__xludf.DUMMYFUNCTION("IMPORTRANGE(""https://docs.google.com/spreadsheets/d/11923uPwbBZFjjGgGUA6NLw09EwE0CqkOc4q9oUmW1yo/edit?usp=sharing"",""พิษณุโลก!I199"")"),0)</f>
        <v>0</v>
      </c>
      <c r="J289" s="314">
        <f ca="1">IFERROR(__xludf.DUMMYFUNCTION("IMPORTRANGE(""https://docs.google.com/spreadsheets/d/11923uPwbBZFjjGgGUA6NLw09EwE0CqkOc4q9oUmW1yo/edit?usp=sharing"",""พิษณุโลก!J199"")"),0)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IFERROR(__xludf.DUMMYFUNCTION("IMPORTRANGE(""https://docs.google.com/spreadsheets/d/1Yj_ptqi66GCucihVvJfMjLAmec39IyEx_6qawtMGysU/edit?usp=sharing"",""สบก!CT28"")"),0)</f>
        <v>0</v>
      </c>
      <c r="N294" s="168">
        <f ca="1">IFERROR(__xludf.DUMMYFUNCTION("IMPORTRANGE(""https://docs.google.com/spreadsheets/d/1Yj_ptqi66GCucihVvJfMjLAmec39IyEx_6qawtMGysU/edit?usp=sharing"",""สบก!CU28"")"),0)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IFERROR(__xludf.DUMMYFUNCTION("IMPORTRANGE(""https://docs.google.com/spreadsheets/d/1Yj_ptqi66GCucihVvJfMjLAmec39IyEx_6qawtMGysU/edit?usp=sharing"",""สบก!CP28"")"),0)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IFERROR(__xludf.DUMMYFUNCTION("IMPORTRANGE(""https://docs.google.com/spreadsheets/d/1Yj_ptqi66GCucihVvJfMjLAmec39IyEx_6qawtMGysU/edit?usp=sharing"",""สบก!CQ28"")"),0)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IFERROR(__xludf.DUMMYFUNCTION("IMPORTRANGE(""https://docs.google.com/spreadsheets/d/1Yj_ptqi66GCucihVvJfMjLAmec39IyEx_6qawtMGysU/edit?usp=sharing"",""สบก!CR28"")"),0)</f>
        <v>0</v>
      </c>
      <c r="M298" s="49"/>
      <c r="N298" s="49">
        <f ca="1">IFERROR(__xludf.DUMMYFUNCTION("IMPORTRANGE(""https://docs.google.com/spreadsheets/d/1Yj_ptqi66GCucihVvJfMjLAmec39IyEx_6qawtMGysU/edit?usp=sharing"",""สบก!CV28"")"),0)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IFERROR(__xludf.DUMMYFUNCTION("IMPORTRANGE(""https://docs.google.com/spreadsheets/d/11923uPwbBZFjjGgGUA6NLw09EwE0CqkOc4q9oUmW1yo/edit?usp=sharing"",""พิษณุโลก!J205"")"),0)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IFERROR(__xludf.DUMMYFUNCTION("IMPORTRANGE(""https://docs.google.com/spreadsheets/d/11923uPwbBZFjjGgGUA6NLw09EwE0CqkOc4q9oUmW1yo/edit?usp=sharing"",""พิษณุโลก!J206"")"),0)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IFERROR(__xludf.DUMMYFUNCTION("IMPORTRANGE(""https://docs.google.com/spreadsheets/d/11923uPwbBZFjjGgGUA6NLw09EwE0CqkOc4q9oUmW1yo/edit?usp=sharing"",""พิษณุโลก!J207"")"),0)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IFERROR(__xludf.DUMMYFUNCTION("IMPORTRANGE(""https://docs.google.com/spreadsheets/d/11923uPwbBZFjjGgGUA6NLw09EwE0CqkOc4q9oUmW1yo/edit?usp=sharing"",""พิษณุโลก!J208"")"),0)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IFERROR(__xludf.DUMMYFUNCTION("IMPORTRANGE(""https://docs.google.com/spreadsheets/d/11923uPwbBZFjjGgGUA6NLw09EwE0CqkOc4q9oUmW1yo/edit?usp=sharing"",""พิษณุโลก!I209"")"),0)</f>
        <v>0</v>
      </c>
      <c r="J304" s="203">
        <f ca="1">IFERROR(__xludf.DUMMYFUNCTION("IMPORTRANGE(""https://docs.google.com/spreadsheets/d/11923uPwbBZFjjGgGUA6NLw09EwE0CqkOc4q9oUmW1yo/edit?usp=sharing"",""พิษณุโลก!J209"")"),0)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IFERROR(__xludf.DUMMYFUNCTION("IMPORTRANGE(""https://docs.google.com/spreadsheets/d/11923uPwbBZFjjGgGUA6NLw09EwE0CqkOc4q9oUmW1yo/edit?usp=sharing"",""พิษณุโลก!I211"")"),0)</f>
        <v>0</v>
      </c>
      <c r="J306" s="203">
        <f ca="1">IFERROR(__xludf.DUMMYFUNCTION("IMPORTRANGE(""https://docs.google.com/spreadsheets/d/11923uPwbBZFjjGgGUA6NLw09EwE0CqkOc4q9oUmW1yo/edit?usp=sharing"",""พิษณุโลก!J211"")"),0)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IFERROR(__xludf.DUMMYFUNCTION("IMPORTRANGE(""https://docs.google.com/spreadsheets/d/11923uPwbBZFjjGgGUA6NLw09EwE0CqkOc4q9oUmW1yo/edit?usp=sharing"",""พิษณุโลก!J212"")"),0)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IFERROR(__xludf.DUMMYFUNCTION("IMPORTRANGE(""https://docs.google.com/spreadsheets/d/11923uPwbBZFjjGgGUA6NLw09EwE0CqkOc4q9oUmW1yo/edit?usp=sharing"",""พิษณุโลก!J213"")"),0)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IFERROR(__xludf.DUMMYFUNCTION("IMPORTRANGE(""https://docs.google.com/spreadsheets/d/11923uPwbBZFjjGgGUA6NLw09EwE0CqkOc4q9oUmW1yo/edit?usp=sharing"",""พิษณุโลก!I214"")"),0)</f>
        <v>0</v>
      </c>
      <c r="J309" s="331">
        <f ca="1">IFERROR(__xludf.DUMMYFUNCTION("IMPORTRANGE(""https://docs.google.com/spreadsheets/d/11923uPwbBZFjjGgGUA6NLw09EwE0CqkOc4q9oUmW1yo/edit?usp=sharing"",""พิษณุโลก!J214"")"),0)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IFERROR(__xludf.DUMMYFUNCTION("IMPORTRANGE(""https://docs.google.com/spreadsheets/d/1Yj_ptqi66GCucihVvJfMjLAmec39IyEx_6qawtMGysU/edit?usp=sharing"",""สบก!DC28"")"),0)</f>
        <v>0</v>
      </c>
      <c r="N314" s="168">
        <f ca="1">IFERROR(__xludf.DUMMYFUNCTION("IMPORTRANGE(""https://docs.google.com/spreadsheets/d/1Yj_ptqi66GCucihVvJfMjLAmec39IyEx_6qawtMGysU/edit?usp=sharing"",""สบก!DD28"")"),0)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IFERROR(__xludf.DUMMYFUNCTION("IMPORTRANGE(""https://docs.google.com/spreadsheets/d/1Yj_ptqi66GCucihVvJfMjLAmec39IyEx_6qawtMGysU/edit?usp=sharing"",""สบก!CY28"")"),0)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IFERROR(__xludf.DUMMYFUNCTION("IMPORTRANGE(""https://docs.google.com/spreadsheets/d/1Yj_ptqi66GCucihVvJfMjLAmec39IyEx_6qawtMGysU/edit?usp=sharing"",""สบก!CZ28"")"),0)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IFERROR(__xludf.DUMMYFUNCTION("IMPORTRANGE(""https://docs.google.com/spreadsheets/d/1Yj_ptqi66GCucihVvJfMjLAmec39IyEx_6qawtMGysU/edit?usp=sharing"",""สบก!DA28"")"),0)</f>
        <v>0</v>
      </c>
      <c r="M318" s="49"/>
      <c r="N318" s="49">
        <f ca="1">IFERROR(__xludf.DUMMYFUNCTION("IMPORTRANGE(""https://docs.google.com/spreadsheets/d/1Yj_ptqi66GCucihVvJfMjLAmec39IyEx_6qawtMGysU/edit?usp=sharing"",""สบก!DE28"")"),0)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IFERROR(__xludf.DUMMYFUNCTION("IMPORTRANGE(""https://docs.google.com/spreadsheets/d/11923uPwbBZFjjGgGUA6NLw09EwE0CqkOc4q9oUmW1yo/edit?usp=sharing"",""พิษณุโลก!J220"")"),0)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IFERROR(__xludf.DUMMYFUNCTION("IMPORTRANGE(""https://docs.google.com/spreadsheets/d/11923uPwbBZFjjGgGUA6NLw09EwE0CqkOc4q9oUmW1yo/edit?usp=sharing"",""พิษณุโลก!J221"")"),0)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IFERROR(__xludf.DUMMYFUNCTION("IMPORTRANGE(""https://docs.google.com/spreadsheets/d/11923uPwbBZFjjGgGUA6NLw09EwE0CqkOc4q9oUmW1yo/edit?usp=sharing"",""พิษณุโลก!J222"")"),0)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IFERROR(__xludf.DUMMYFUNCTION("IMPORTRANGE(""https://docs.google.com/spreadsheets/d/11923uPwbBZFjjGgGUA6NLw09EwE0CqkOc4q9oUmW1yo/edit?usp=sharing"",""พิษณุโลก!J223"")"),0)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IFERROR(__xludf.DUMMYFUNCTION("IMPORTRANGE(""https://docs.google.com/spreadsheets/d/11923uPwbBZFjjGgGUA6NLw09EwE0CqkOc4q9oUmW1yo/edit?usp=sharing"",""พิษณุโลก!I224"")"),0)</f>
        <v>0</v>
      </c>
      <c r="J324" s="203">
        <f ca="1">IFERROR(__xludf.DUMMYFUNCTION("IMPORTRANGE(""https://docs.google.com/spreadsheets/d/11923uPwbBZFjjGgGUA6NLw09EwE0CqkOc4q9oUmW1yo/edit?usp=sharing"",""พิษณุโลก!J224"")"),0)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IFERROR(__xludf.DUMMYFUNCTION("IMPORTRANGE(""https://docs.google.com/spreadsheets/d/11923uPwbBZFjjGgGUA6NLw09EwE0CqkOc4q9oUmW1yo/edit?usp=sharing"",""พิษณุโลก!J225"")"),0)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IFERROR(__xludf.DUMMYFUNCTION("IMPORTRANGE(""https://docs.google.com/spreadsheets/d/11923uPwbBZFjjGgGUA6NLw09EwE0CqkOc4q9oUmW1yo/edit?usp=sharing"",""พิษณุโลก!J226"")"),0)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IFERROR(__xludf.DUMMYFUNCTION("IMPORTRANGE(""https://docs.google.com/spreadsheets/d/11923uPwbBZFjjGgGUA6NLw09EwE0CqkOc4q9oUmW1yo/edit?usp=sharing"",""พิษณุโลก!I228"")"),220)</f>
        <v>220</v>
      </c>
      <c r="J328" s="337">
        <f ca="1">IFERROR(__xludf.DUMMYFUNCTION("IMPORTRANGE(""https://docs.google.com/spreadsheets/d/11923uPwbBZFjjGgGUA6NLw09EwE0CqkOc4q9oUmW1yo/edit?usp=sharing"",""พิษณุโลก!J228"")"),70)</f>
        <v>70</v>
      </c>
      <c r="K328" s="315">
        <f ca="1">IF(I328&gt;0,J328*100/I328,0)</f>
        <v>31.818181818181817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693330</v>
      </c>
      <c r="M329" s="151">
        <f t="shared" ca="1" si="98"/>
        <v>387130</v>
      </c>
      <c r="N329" s="151">
        <f t="shared" ca="1" si="98"/>
        <v>356580</v>
      </c>
      <c r="O329" s="150">
        <f t="shared" ref="O329:O331" ca="1" si="99">IF(L329&gt;0,N329*100/L329,0)</f>
        <v>51.43005495218727</v>
      </c>
      <c r="P329" s="150">
        <f t="shared" ref="P329:P331" ca="1" si="100">IF(M329&gt;0,N329*100/M329,0)</f>
        <v>92.108594012347268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693330</v>
      </c>
      <c r="M331" s="87">
        <f t="shared" ca="1" si="102"/>
        <v>387130</v>
      </c>
      <c r="N331" s="87">
        <f t="shared" ca="1" si="102"/>
        <v>356580</v>
      </c>
      <c r="O331" s="155">
        <f t="shared" ca="1" si="99"/>
        <v>51.43005495218727</v>
      </c>
      <c r="P331" s="155">
        <f t="shared" ca="1" si="100"/>
        <v>92.108594012347268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678330</v>
      </c>
      <c r="M333" s="167">
        <f ca="1">IFERROR(__xludf.DUMMYFUNCTION("IMPORTRANGE(""https://docs.google.com/spreadsheets/d/1Yj_ptqi66GCucihVvJfMjLAmec39IyEx_6qawtMGysU/edit?usp=sharing"",""สบก!DL28"")"),372130)</f>
        <v>372130</v>
      </c>
      <c r="N333" s="168">
        <f ca="1">IFERROR(__xludf.DUMMYFUNCTION("IMPORTRANGE(""https://docs.google.com/spreadsheets/d/1Yj_ptqi66GCucihVvJfMjLAmec39IyEx_6qawtMGysU/edit?usp=sharing"",""สบก!DM28"")"),341580)</f>
        <v>341580</v>
      </c>
      <c r="O333" s="168">
        <f ca="1">IF(L333&gt;0,N333*100/L333,0)</f>
        <v>50.356021405510589</v>
      </c>
      <c r="P333" s="168">
        <f ca="1">IF(M333&gt;0,N333*100/M333,0)</f>
        <v>91.790503318732704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IFERROR(__xludf.DUMMYFUNCTION("IMPORTRANGE(""https://docs.google.com/spreadsheets/d/1Yj_ptqi66GCucihVvJfMjLAmec39IyEx_6qawtMGysU/edit?usp=sharing"",""สบก!DH28"")"),306000)</f>
        <v>306000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IFERROR(__xludf.DUMMYFUNCTION("IMPORTRANGE(""https://docs.google.com/spreadsheets/d/1Yj_ptqi66GCucihVvJfMjLAmec39IyEx_6qawtMGysU/edit?usp=sharing"",""สบก!DI28"")"),372330)</f>
        <v>372330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IFERROR(__xludf.DUMMYFUNCTION("IMPORTRANGE(""https://docs.google.com/spreadsheets/d/1Yj_ptqi66GCucihVvJfMjLAmec39IyEx_6qawtMGysU/edit?usp=sharing"",""สบก!DJ28"")"),15000)</f>
        <v>15000</v>
      </c>
      <c r="M337" s="49">
        <f ca="1">L337</f>
        <v>15000</v>
      </c>
      <c r="N337" s="49">
        <f ca="1">IFERROR(__xludf.DUMMYFUNCTION("IMPORTRANGE(""https://docs.google.com/spreadsheets/d/1Yj_ptqi66GCucihVvJfMjLAmec39IyEx_6qawtMGysU/edit?usp=sharing"",""สบก!DN28"")"),15000)</f>
        <v>15000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IFERROR(__xludf.DUMMYFUNCTION("IMPORTRANGE(""https://docs.google.com/spreadsheets/d/11923uPwbBZFjjGgGUA6NLw09EwE0CqkOc4q9oUmW1yo/edit?usp=sharing"",""พิษณุโลก!I234"")"),0)</f>
        <v>0</v>
      </c>
      <c r="J339" s="187">
        <f ca="1">IFERROR(__xludf.DUMMYFUNCTION("IMPORTRANGE(""https://docs.google.com/spreadsheets/d/11923uPwbBZFjjGgGUA6NLw09EwE0CqkOc4q9oUmW1yo/edit?usp=sharing"",""พิษณุโลก!J234"")"),166)</f>
        <v>166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IFERROR(__xludf.DUMMYFUNCTION("IMPORTRANGE(""https://docs.google.com/spreadsheets/d/11923uPwbBZFjjGgGUA6NLw09EwE0CqkOc4q9oUmW1yo/edit?usp=sharing"",""พิษณุโลก!I235"")"),2040)</f>
        <v>2040</v>
      </c>
      <c r="J340" s="187">
        <f ca="1">IFERROR(__xludf.DUMMYFUNCTION("IMPORTRANGE(""https://docs.google.com/spreadsheets/d/11923uPwbBZFjjGgGUA6NLw09EwE0CqkOc4q9oUmW1yo/edit?usp=sharing"",""พิษณุโลก!J235"")"),1837.95)</f>
        <v>1837.95</v>
      </c>
      <c r="K340" s="340">
        <f t="shared" ca="1" si="103"/>
        <v>90.095588235294116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IFERROR(__xludf.DUMMYFUNCTION("IMPORTRANGE(""https://docs.google.com/spreadsheets/d/11923uPwbBZFjjGgGUA6NLw09EwE0CqkOc4q9oUmW1yo/edit?usp=sharing"",""พิษณุโลก!I236"")"),220)</f>
        <v>220</v>
      </c>
      <c r="J341" s="187">
        <f ca="1">IFERROR(__xludf.DUMMYFUNCTION("IMPORTRANGE(""https://docs.google.com/spreadsheets/d/11923uPwbBZFjjGgGUA6NLw09EwE0CqkOc4q9oUmW1yo/edit?usp=sharing"",""พิษณุโลก!J236"")"),173)</f>
        <v>173</v>
      </c>
      <c r="K341" s="340">
        <f t="shared" ca="1" si="103"/>
        <v>78.63636363636364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IFERROR(__xludf.DUMMYFUNCTION("IMPORTRANGE(""https://docs.google.com/spreadsheets/d/11923uPwbBZFjjGgGUA6NLw09EwE0CqkOc4q9oUmW1yo/edit?usp=sharing"",""พิษณุโลก!I237"")"),0)</f>
        <v>0</v>
      </c>
      <c r="J342" s="187">
        <f ca="1">IFERROR(__xludf.DUMMYFUNCTION("IMPORTRANGE(""https://docs.google.com/spreadsheets/d/11923uPwbBZFjjGgGUA6NLw09EwE0CqkOc4q9oUmW1yo/edit?usp=sharing"",""พิษณุโลก!J237"")"),2035.4)</f>
        <v>2035.4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IFERROR(__xludf.DUMMYFUNCTION("IMPORTRANGE(""https://docs.google.com/spreadsheets/d/11923uPwbBZFjjGgGUA6NLw09EwE0CqkOc4q9oUmW1yo/edit?usp=sharing"",""พิษณุโลก!I238"")"),220)</f>
        <v>220</v>
      </c>
      <c r="J343" s="187">
        <f ca="1">IFERROR(__xludf.DUMMYFUNCTION("IMPORTRANGE(""https://docs.google.com/spreadsheets/d/11923uPwbBZFjjGgGUA6NLw09EwE0CqkOc4q9oUmW1yo/edit?usp=sharing"",""พิษณุโลก!J238"")"),0)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IFERROR(__xludf.DUMMYFUNCTION("IMPORTRANGE(""https://docs.google.com/spreadsheets/d/11923uPwbBZFjjGgGUA6NLw09EwE0CqkOc4q9oUmW1yo/edit?usp=sharing"",""พิษณุโลก!I239"")"),0)</f>
        <v>0</v>
      </c>
      <c r="J344" s="187">
        <f ca="1">IFERROR(__xludf.DUMMYFUNCTION("IMPORTRANGE(""https://docs.google.com/spreadsheets/d/11923uPwbBZFjjGgGUA6NLw09EwE0CqkOc4q9oUmW1yo/edit?usp=sharing"",""พิษณุโลก!J239"")"),0)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IFERROR(__xludf.DUMMYFUNCTION("IMPORTRANGE(""https://docs.google.com/spreadsheets/d/11923uPwbBZFjjGgGUA6NLw09EwE0CqkOc4q9oUmW1yo/edit?usp=sharing"",""พิษณุโลก!I240"")"),220)</f>
        <v>220</v>
      </c>
      <c r="J345" s="187">
        <f ca="1">IFERROR(__xludf.DUMMYFUNCTION("IMPORTRANGE(""https://docs.google.com/spreadsheets/d/11923uPwbBZFjjGgGUA6NLw09EwE0CqkOc4q9oUmW1yo/edit?usp=sharing"",""พิษณุโลก!J240"")"),70)</f>
        <v>70</v>
      </c>
      <c r="K345" s="340">
        <f t="shared" ca="1" si="103"/>
        <v>31.818181818181817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IFERROR(__xludf.DUMMYFUNCTION("IMPORTRANGE(""https://docs.google.com/spreadsheets/d/11923uPwbBZFjjGgGUA6NLw09EwE0CqkOc4q9oUmW1yo/edit?usp=sharing"",""พิษณุโลก!I241"")"),0)</f>
        <v>0</v>
      </c>
      <c r="J346" s="187">
        <f ca="1">IFERROR(__xludf.DUMMYFUNCTION("IMPORTRANGE(""https://docs.google.com/spreadsheets/d/11923uPwbBZFjjGgGUA6NLw09EwE0CqkOc4q9oUmW1yo/edit?usp=sharing"",""พิษณุโลก!J241"")"),662.13)</f>
        <v>662.13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IFERROR(__xludf.DUMMYFUNCTION("IMPORTRANGE(""https://docs.google.com/spreadsheets/d/11923uPwbBZFjjGgGUA6NLw09EwE0CqkOc4q9oUmW1yo/edit?usp=sharing"",""พิษณุโลก!L242"")"),2739339)</f>
        <v>2739339</v>
      </c>
      <c r="M347" s="356"/>
      <c r="N347" s="356">
        <f ca="1">IFERROR(__xludf.DUMMYFUNCTION("IMPORTRANGE(""https://docs.google.com/spreadsheets/d/11923uPwbBZFjjGgGUA6NLw09EwE0CqkOc4q9oUmW1yo/edit?usp=sharing"",""พิษณุโลก!M242"")"),449146.06)</f>
        <v>449146.06</v>
      </c>
      <c r="O347" s="356">
        <f ca="1">+IF(L347&gt;0,N347*100/L347,0)</f>
        <v>16.396147391761296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IFERROR(__xludf.DUMMYFUNCTION("IMPORTRANGE(""https://docs.google.com/spreadsheets/d/11923uPwbBZFjjGgGUA6NLw09EwE0CqkOc4q9oUmW1yo/edit?usp=sharing"",""พิษณุโลก!I244"")"),0)</f>
        <v>0</v>
      </c>
      <c r="J349" s="369">
        <f ca="1">IFERROR(__xludf.DUMMYFUNCTION("IMPORTRANGE(""https://docs.google.com/spreadsheets/d/11923uPwbBZFjjGgGUA6NLw09EwE0CqkOc4q9oUmW1yo/edit?usp=sharing"",""พิษณุโลก!J244"")"),0)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IFERROR(__xludf.DUMMYFUNCTION("IMPORTRANGE(""https://docs.google.com/spreadsheets/d/11923uPwbBZFjjGgGUA6NLw09EwE0CqkOc4q9oUmW1yo/edit?usp=sharing"",""พิษณุโลก!L244"")"),0)</f>
        <v>0</v>
      </c>
      <c r="M349" s="371"/>
      <c r="N349" s="371">
        <f ca="1">IFERROR(__xludf.DUMMYFUNCTION("IMPORTRANGE(""https://docs.google.com/spreadsheets/d/11923uPwbBZFjjGgGUA6NLw09EwE0CqkOc4q9oUmW1yo/edit?usp=sharing"",""พิษณุโลก!M244"")"),0)</f>
        <v>0</v>
      </c>
      <c r="O349" s="371">
        <f ca="1">+IF(L349&gt;0,N349*100/L349,0)</f>
        <v>0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IFERROR(__xludf.DUMMYFUNCTION("IMPORTRANGE(""https://docs.google.com/spreadsheets/d/11923uPwbBZFjjGgGUA6NLw09EwE0CqkOc4q9oUmW1yo/edit?usp=sharing"",""พิษณุโลก!I245"")"),0)</f>
        <v>0</v>
      </c>
      <c r="J350" s="369">
        <f ca="1">IFERROR(__xludf.DUMMYFUNCTION("IMPORTRANGE(""https://docs.google.com/spreadsheets/d/11923uPwbBZFjjGgGUA6NLw09EwE0CqkOc4q9oUmW1yo/edit?usp=sharing"",""พิษณุโลก!J245"")"),0)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IFERROR(__xludf.DUMMYFUNCTION("IMPORTRANGE(""https://docs.google.com/spreadsheets/d/11923uPwbBZFjjGgGUA6NLw09EwE0CqkOc4q9oUmW1yo/edit?usp=sharing"",""พิษณุโลก!L246"")"),0)</f>
        <v>0</v>
      </c>
      <c r="M351" s="164"/>
      <c r="N351" s="164">
        <f ca="1">IFERROR(__xludf.DUMMYFUNCTION("IMPORTRANGE(""https://docs.google.com/spreadsheets/d/11923uPwbBZFjjGgGUA6NLw09EwE0CqkOc4q9oUmW1yo/edit?usp=sharing"",""พิษณุโลก!M246"")"),0)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IFERROR(__xludf.DUMMYFUNCTION("IMPORTRANGE(""https://docs.google.com/spreadsheets/d/11923uPwbBZFjjGgGUA6NLw09EwE0CqkOc4q9oUmW1yo/edit?usp=sharing"",""พิษณุโลก!L247"")"),0)</f>
        <v>0</v>
      </c>
      <c r="M352" s="165"/>
      <c r="N352" s="164">
        <f ca="1">IFERROR(__xludf.DUMMYFUNCTION("IMPORTRANGE(""https://docs.google.com/spreadsheets/d/11923uPwbBZFjjGgGUA6NLw09EwE0CqkOc4q9oUmW1yo/edit?usp=sharing"",""พิษณุโลก!M247"")"),0)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IFERROR(__xludf.DUMMYFUNCTION("IMPORTRANGE(""https://docs.google.com/spreadsheets/d/11923uPwbBZFjjGgGUA6NLw09EwE0CqkOc4q9oUmW1yo/edit?usp=sharing"",""พิษณุโลก!L248"")"),0)</f>
        <v>0</v>
      </c>
      <c r="M353" s="168"/>
      <c r="N353" s="168">
        <f ca="1">IFERROR(__xludf.DUMMYFUNCTION("IMPORTRANGE(""https://docs.google.com/spreadsheets/d/11923uPwbBZFjjGgGUA6NLw09EwE0CqkOc4q9oUmW1yo/edit?usp=sharing"",""พิษณุโลก!M248"")"),0)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IFERROR(__xludf.DUMMYFUNCTION("IMPORTRANGE(""https://docs.google.com/spreadsheets/d/11923uPwbBZFjjGgGUA6NLw09EwE0CqkOc4q9oUmW1yo/edit?usp=sharing"",""พิษณุโลก!L249"")"),0)</f>
        <v>0</v>
      </c>
      <c r="M354" s="168"/>
      <c r="N354" s="167">
        <f ca="1">IFERROR(__xludf.DUMMYFUNCTION("IMPORTRANGE(""https://docs.google.com/spreadsheets/d/11923uPwbBZFjjGgGUA6NLw09EwE0CqkOc4q9oUmW1yo/edit?usp=sharing"",""พิษณุโลก!M249"")"),0)</f>
        <v>0</v>
      </c>
      <c r="O354" s="168">
        <f t="shared" ca="1" si="105"/>
        <v>0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IFERROR(__xludf.DUMMYFUNCTION("IMPORTRANGE(""https://docs.google.com/spreadsheets/d/11923uPwbBZFjjGgGUA6NLw09EwE0CqkOc4q9oUmW1yo/edit?usp=sharing"",""พิษณุโลก!M250"")"),0)</f>
        <v>0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IFERROR(__xludf.DUMMYFUNCTION("IMPORTRANGE(""https://docs.google.com/spreadsheets/d/11923uPwbBZFjjGgGUA6NLw09EwE0CqkOc4q9oUmW1yo/edit?usp=sharing"",""พิษณุโลก!M251"")"),0)</f>
        <v>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IFERROR(__xludf.DUMMYFUNCTION("IMPORTRANGE(""https://docs.google.com/spreadsheets/d/11923uPwbBZFjjGgGUA6NLw09EwE0CqkOc4q9oUmW1yo/edit?usp=sharing"",""พิษณุโลก!M252"")"),0)</f>
        <v>0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IFERROR(__xludf.DUMMYFUNCTION("IMPORTRANGE(""https://docs.google.com/spreadsheets/d/11923uPwbBZFjjGgGUA6NLw09EwE0CqkOc4q9oUmW1yo/edit?usp=sharing"",""พิษณุโลก!M253"")"),0)</f>
        <v>0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IFERROR(__xludf.DUMMYFUNCTION("IMPORTRANGE(""https://docs.google.com/spreadsheets/d/11923uPwbBZFjjGgGUA6NLw09EwE0CqkOc4q9oUmW1yo/edit?usp=sharing"",""พิษณุโลก!J255"")"),0)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IFERROR(__xludf.DUMMYFUNCTION("IMPORTRANGE(""https://docs.google.com/spreadsheets/d/11923uPwbBZFjjGgGUA6NLw09EwE0CqkOc4q9oUmW1yo/edit?usp=sharing"",""พิษณุโลก!J256"")"),0)</f>
        <v>0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IFERROR(__xludf.DUMMYFUNCTION("IMPORTRANGE(""https://docs.google.com/spreadsheets/d/11923uPwbBZFjjGgGUA6NLw09EwE0CqkOc4q9oUmW1yo/edit?usp=sharing"",""พิษณุโลก!J257"")"),0)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IFERROR(__xludf.DUMMYFUNCTION("IMPORTRANGE(""https://docs.google.com/spreadsheets/d/11923uPwbBZFjjGgGUA6NLw09EwE0CqkOc4q9oUmW1yo/edit?usp=sharing"",""พิษณุโลก!J258"")"),0)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IFERROR(__xludf.DUMMYFUNCTION("IMPORTRANGE(""https://docs.google.com/spreadsheets/d/11923uPwbBZFjjGgGUA6NLw09EwE0CqkOc4q9oUmW1yo/edit?usp=sharing"",""พิษณุโลก!J166"")"),0)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IFERROR(__xludf.DUMMYFUNCTION("IMPORTRANGE(""https://docs.google.com/spreadsheets/d/11923uPwbBZFjjGgGUA6NLw09EwE0CqkOc4q9oUmW1yo/edit?usp=sharing"",""พิษณุโลก!J166"")"),0)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IFERROR(__xludf.DUMMYFUNCTION("IMPORTRANGE(""https://docs.google.com/spreadsheets/d/11923uPwbBZFjjGgGUA6NLw09EwE0CqkOc4q9oUmW1yo/edit?usp=sharing"",""พิษณุโลก!J166"")"),0)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IFERROR(__xludf.DUMMYFUNCTION("IMPORTRANGE(""https://docs.google.com/spreadsheets/d/11923uPwbBZFjjGgGUA6NLw09EwE0CqkOc4q9oUmW1yo/edit?usp=sharing"",""พิษณุโลก!J166"")"),0)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IFERROR(__xludf.DUMMYFUNCTION("IMPORTRANGE(""https://docs.google.com/spreadsheets/d/11923uPwbBZFjjGgGUA6NLw09EwE0CqkOc4q9oUmW1yo/edit?usp=sharing"",""พิษณุโลก!I263"")"),0)</f>
        <v>0</v>
      </c>
      <c r="J368" s="187">
        <f ca="1">IFERROR(__xludf.DUMMYFUNCTION("IMPORTRANGE(""https://docs.google.com/spreadsheets/d/11923uPwbBZFjjGgGUA6NLw09EwE0CqkOc4q9oUmW1yo/edit?usp=sharing"",""พิษณุโลก!J263"")"),0)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IFERROR(__xludf.DUMMYFUNCTION("IMPORTRANGE(""https://docs.google.com/spreadsheets/d/11923uPwbBZFjjGgGUA6NLw09EwE0CqkOc4q9oUmW1yo/edit?usp=sharing"",""พิษณุโลก!I164"")"),0)</f>
        <v>0</v>
      </c>
      <c r="J369" s="203">
        <f ca="1">IFERROR(__xludf.DUMMYFUNCTION("IMPORTRANGE(""https://docs.google.com/spreadsheets/d/11923uPwbBZFjjGgGUA6NLw09EwE0CqkOc4q9oUmW1yo/edit?usp=sharing"",""พิษณุโลก!J164"")"),0)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IFERROR(__xludf.DUMMYFUNCTION("IMPORTRANGE(""https://docs.google.com/spreadsheets/d/11923uPwbBZFjjGgGUA6NLw09EwE0CqkOc4q9oUmW1yo/edit?usp=sharing"",""พิษณุโลก!I265"")"),0)</f>
        <v>0</v>
      </c>
      <c r="J370" s="203">
        <f ca="1">IFERROR(__xludf.DUMMYFUNCTION("IMPORTRANGE(""https://docs.google.com/spreadsheets/d/11923uPwbBZFjjGgGUA6NLw09EwE0CqkOc4q9oUmW1yo/edit?usp=sharing"",""พิษณุโลก!J265"")"),0)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IFERROR(__xludf.DUMMYFUNCTION("IMPORTRANGE(""https://docs.google.com/spreadsheets/d/11923uPwbBZFjjGgGUA6NLw09EwE0CqkOc4q9oUmW1yo/edit?usp=sharing"",""พิษณุโลก!I164"")"),0)</f>
        <v>0</v>
      </c>
      <c r="J371" s="188">
        <f ca="1">IFERROR(__xludf.DUMMYFUNCTION("IMPORTRANGE(""https://docs.google.com/spreadsheets/d/11923uPwbBZFjjGgGUA6NLw09EwE0CqkOc4q9oUmW1yo/edit?usp=sharing"",""พิษณุโลก!J164"")"),0)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IFERROR(__xludf.DUMMYFUNCTION("IMPORTRANGE(""https://docs.google.com/spreadsheets/d/11923uPwbBZFjjGgGUA6NLw09EwE0CqkOc4q9oUmW1yo/edit?usp=sharing"",""พิษณุโลก!I267"")"),0)</f>
        <v>0</v>
      </c>
      <c r="J372" s="188">
        <f ca="1">IFERROR(__xludf.DUMMYFUNCTION("IMPORTRANGE(""https://docs.google.com/spreadsheets/d/11923uPwbBZFjjGgGUA6NLw09EwE0CqkOc4q9oUmW1yo/edit?usp=sharing"",""พิษณุโลก!J267"")"),0)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IFERROR(__xludf.DUMMYFUNCTION("IMPORTRANGE(""https://docs.google.com/spreadsheets/d/11923uPwbBZFjjGgGUA6NLw09EwE0CqkOc4q9oUmW1yo/edit?usp=sharing"",""พิษณุโลก!I164"")"),0)</f>
        <v>0</v>
      </c>
      <c r="J373" s="203">
        <f ca="1">IFERROR(__xludf.DUMMYFUNCTION("IMPORTRANGE(""https://docs.google.com/spreadsheets/d/11923uPwbBZFjjGgGUA6NLw09EwE0CqkOc4q9oUmW1yo/edit?usp=sharing"",""พิษณุโลก!J164"")"),0)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IFERROR(__xludf.DUMMYFUNCTION("IMPORTRANGE(""https://docs.google.com/spreadsheets/d/11923uPwbBZFjjGgGUA6NLw09EwE0CqkOc4q9oUmW1yo/edit?usp=sharing"",""พิษณุโลก!I164"")"),0)</f>
        <v>0</v>
      </c>
      <c r="J374" s="187">
        <f ca="1">IFERROR(__xludf.DUMMYFUNCTION("IMPORTRANGE(""https://docs.google.com/spreadsheets/d/11923uPwbBZFjjGgGUA6NLw09EwE0CqkOc4q9oUmW1yo/edit?usp=sharing"",""พิษณุโลก!J164"")"),0)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IFERROR(__xludf.DUMMYFUNCTION("IMPORTRANGE(""https://docs.google.com/spreadsheets/d/11923uPwbBZFjjGgGUA6NLw09EwE0CqkOc4q9oUmW1yo/edit?usp=sharing"",""พิษณุโลก!I270"")"),0)</f>
        <v>0</v>
      </c>
      <c r="J375" s="187">
        <f ca="1">IFERROR(__xludf.DUMMYFUNCTION("IMPORTRANGE(""https://docs.google.com/spreadsheets/d/11923uPwbBZFjjGgGUA6NLw09EwE0CqkOc4q9oUmW1yo/edit?usp=sharing"",""พิษณุโลก!J270"")"),0)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IFERROR(__xludf.DUMMYFUNCTION("IMPORTRANGE(""https://docs.google.com/spreadsheets/d/11923uPwbBZFjjGgGUA6NLw09EwE0CqkOc4q9oUmW1yo/edit?usp=sharing"",""พิษณุโลก!I271"")"),0)</f>
        <v>0</v>
      </c>
      <c r="J376" s="188">
        <f ca="1">IFERROR(__xludf.DUMMYFUNCTION("IMPORTRANGE(""https://docs.google.com/spreadsheets/d/11923uPwbBZFjjGgGUA6NLw09EwE0CqkOc4q9oUmW1yo/edit?usp=sharing"",""พิษณุโลก!J271"")"),0)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IFERROR(__xludf.DUMMYFUNCTION("IMPORTRANGE(""https://docs.google.com/spreadsheets/d/11923uPwbBZFjjGgGUA6NLw09EwE0CqkOc4q9oUmW1yo/edit?usp=sharing"",""พิษณุโลก!I272"")"),0)</f>
        <v>0</v>
      </c>
      <c r="J377" s="203">
        <f ca="1">IFERROR(__xludf.DUMMYFUNCTION("IMPORTRANGE(""https://docs.google.com/spreadsheets/d/11923uPwbBZFjjGgGUA6NLw09EwE0CqkOc4q9oUmW1yo/edit?usp=sharing"",""พิษณุโลก!J272"")"),0)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IFERROR(__xludf.DUMMYFUNCTION("IMPORTRANGE(""https://docs.google.com/spreadsheets/d/11923uPwbBZFjjGgGUA6NLw09EwE0CqkOc4q9oUmW1yo/edit?usp=sharing"",""พิษณุโลก!J273"")"),0)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IFERROR(__xludf.DUMMYFUNCTION("IMPORTRANGE(""https://docs.google.com/spreadsheets/d/11923uPwbBZFjjGgGUA6NLw09EwE0CqkOc4q9oUmW1yo/edit?usp=sharing"",""พิษณุโลก!J274"")"),0)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IFERROR(__xludf.DUMMYFUNCTION("IMPORTRANGE(""https://docs.google.com/spreadsheets/d/11923uPwbBZFjjGgGUA6NLw09EwE0CqkOc4q9oUmW1yo/edit?usp=sharing"",""พิษณุโลก!I275"")"),1000)</f>
        <v>1000</v>
      </c>
      <c r="J380" s="369">
        <f ca="1">IFERROR(__xludf.DUMMYFUNCTION("IMPORTRANGE(""https://docs.google.com/spreadsheets/d/11923uPwbBZFjjGgGUA6NLw09EwE0CqkOc4q9oUmW1yo/edit?usp=sharing"",""พิษณุโลก!J275"")"),1000)</f>
        <v>1000</v>
      </c>
      <c r="K380" s="370">
        <f t="shared" ref="K380:K381" ca="1" si="108">IF(I380&gt;0,J380*100/I380,0)</f>
        <v>100</v>
      </c>
      <c r="L380" s="371">
        <f ca="1">IFERROR(__xludf.DUMMYFUNCTION("IMPORTRANGE(""https://docs.google.com/spreadsheets/d/11923uPwbBZFjjGgGUA6NLw09EwE0CqkOc4q9oUmW1yo/edit?usp=sharing"",""พิษณุโลก!L275"")"),1028520)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IFERROR(__xludf.DUMMYFUNCTION("IMPORTRANGE(""https://docs.google.com/spreadsheets/d/11923uPwbBZFjjGgGUA6NLw09EwE0CqkOc4q9oUmW1yo/edit?usp=sharing"",""พิษณุโลก!M275"")"),156200.09)</f>
        <v>156200.09</v>
      </c>
      <c r="O380" s="371">
        <f ca="1">+IF(L380&gt;0,N380*100/L380,0)</f>
        <v>15.186879205071365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IFERROR(__xludf.DUMMYFUNCTION("IMPORTRANGE(""https://docs.google.com/spreadsheets/d/11923uPwbBZFjjGgGUA6NLw09EwE0CqkOc4q9oUmW1yo/edit?usp=sharing"",""พิษณุโลก!I276"")"),100)</f>
        <v>100</v>
      </c>
      <c r="J381" s="369">
        <f ca="1">IFERROR(__xludf.DUMMYFUNCTION("IMPORTRANGE(""https://docs.google.com/spreadsheets/d/11923uPwbBZFjjGgGUA6NLw09EwE0CqkOc4q9oUmW1yo/edit?usp=sharing"",""พิษณุโลก!J276"")"),100)</f>
        <v>100</v>
      </c>
      <c r="K381" s="370">
        <f t="shared" ca="1" si="108"/>
        <v>100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IFERROR(__xludf.DUMMYFUNCTION("IMPORTRANGE(""https://docs.google.com/spreadsheets/d/11923uPwbBZFjjGgGUA6NLw09EwE0CqkOc4q9oUmW1yo/edit?usp=sharing"",""พิษณุโลก!L277"")"),0)</f>
        <v>0</v>
      </c>
      <c r="M382" s="164"/>
      <c r="N382" s="164">
        <f ca="1">IFERROR(__xludf.DUMMYFUNCTION("IMPORTRANGE(""https://docs.google.com/spreadsheets/d/11923uPwbBZFjjGgGUA6NLw09EwE0CqkOc4q9oUmW1yo/edit?usp=sharing"",""พิษณุโลก!M277"")"),0)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IFERROR(__xludf.DUMMYFUNCTION("IMPORTRANGE(""https://docs.google.com/spreadsheets/d/11923uPwbBZFjjGgGUA6NLw09EwE0CqkOc4q9oUmW1yo/edit?usp=sharing"",""พิษณุโลก!L278"")"),1028520)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IFERROR(__xludf.DUMMYFUNCTION("IMPORTRANGE(""https://docs.google.com/spreadsheets/d/11923uPwbBZFjjGgGUA6NLw09EwE0CqkOc4q9oUmW1yo/edit?usp=sharing"",""พิษณุโลก!M278"")"),156200.09)</f>
        <v>156200.09</v>
      </c>
      <c r="O383" s="165">
        <f t="shared" ca="1" si="109"/>
        <v>15.186879205071365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IFERROR(__xludf.DUMMYFUNCTION("IMPORTRANGE(""https://docs.google.com/spreadsheets/d/11923uPwbBZFjjGgGUA6NLw09EwE0CqkOc4q9oUmW1yo/edit?usp=sharing"",""พิษณุโลก!L279"")"),0)</f>
        <v>0</v>
      </c>
      <c r="M384" s="168"/>
      <c r="N384" s="168">
        <f ca="1">IFERROR(__xludf.DUMMYFUNCTION("IMPORTRANGE(""https://docs.google.com/spreadsheets/d/11923uPwbBZFjjGgGUA6NLw09EwE0CqkOc4q9oUmW1yo/edit?usp=sharing"",""พิษณุโลก!M279"")"),0)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IFERROR(__xludf.DUMMYFUNCTION("IMPORTRANGE(""https://docs.google.com/spreadsheets/d/11923uPwbBZFjjGgGUA6NLw09EwE0CqkOc4q9oUmW1yo/edit?usp=sharing"",""พิษณุโลก!L280"")"),1028520)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IFERROR(__xludf.DUMMYFUNCTION("IMPORTRANGE(""https://docs.google.com/spreadsheets/d/11923uPwbBZFjjGgGUA6NLw09EwE0CqkOc4q9oUmW1yo/edit?usp=sharing"",""พิษณุโลก!M280"")"),156200.09)</f>
        <v>156200.09</v>
      </c>
      <c r="O385" s="168">
        <f t="shared" ca="1" si="109"/>
        <v>15.186879205071365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IFERROR(__xludf.DUMMYFUNCTION("IMPORTRANGE(""https://docs.google.com/spreadsheets/d/11923uPwbBZFjjGgGUA6NLw09EwE0CqkOc4q9oUmW1yo/edit?usp=sharing"",""พิษณุโลก!M281"")"),111080)</f>
        <v>111080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IFERROR(__xludf.DUMMYFUNCTION("IMPORTRANGE(""https://docs.google.com/spreadsheets/d/11923uPwbBZFjjGgGUA6NLw09EwE0CqkOc4q9oUmW1yo/edit?usp=sharing"",""พิษณุโลก!M282"")"),0)</f>
        <v>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IFERROR(__xludf.DUMMYFUNCTION("IMPORTRANGE(""https://docs.google.com/spreadsheets/d/11923uPwbBZFjjGgGUA6NLw09EwE0CqkOc4q9oUmW1yo/edit?usp=sharing"",""พิษณุโลก!M283"")"),42900.09)</f>
        <v>42900.09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IFERROR(__xludf.DUMMYFUNCTION("IMPORTRANGE(""https://docs.google.com/spreadsheets/d/11923uPwbBZFjjGgGUA6NLw09EwE0CqkOc4q9oUmW1yo/edit?usp=sharing"",""พิษณุโลก!M284"")"),2220)</f>
        <v>2220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IFERROR(__xludf.DUMMYFUNCTION("IMPORTRANGE(""https://docs.google.com/spreadsheets/d/11923uPwbBZFjjGgGUA6NLw09EwE0CqkOc4q9oUmW1yo/edit?usp=sharing"",""พิษณุโลก!J286"")"),0)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IFERROR(__xludf.DUMMYFUNCTION("IMPORTRANGE(""https://docs.google.com/spreadsheets/d/11923uPwbBZFjjGgGUA6NLw09EwE0CqkOc4q9oUmW1yo/edit?usp=sharing"",""พิษณุโลก!J287"")"),1)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IFERROR(__xludf.DUMMYFUNCTION("IMPORTRANGE(""https://docs.google.com/spreadsheets/d/11923uPwbBZFjjGgGUA6NLw09EwE0CqkOc4q9oUmW1yo/edit?usp=sharing"",""พิษณุโลก!J288"")"),1)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IFERROR(__xludf.DUMMYFUNCTION("IMPORTRANGE(""https://docs.google.com/spreadsheets/d/11923uPwbBZFjjGgGUA6NLw09EwE0CqkOc4q9oUmW1yo/edit?usp=sharing"",""พิษณุโลก!J289"")"),1)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IFERROR(__xludf.DUMMYFUNCTION("IMPORTRANGE(""https://docs.google.com/spreadsheets/d/11923uPwbBZFjjGgGUA6NLw09EwE0CqkOc4q9oUmW1yo/edit?usp=sharing"",""พิษณุโลก!I291"")"),100)</f>
        <v>100</v>
      </c>
      <c r="J396" s="197">
        <f ca="1">IFERROR(__xludf.DUMMYFUNCTION("IMPORTRANGE(""https://docs.google.com/spreadsheets/d/11923uPwbBZFjjGgGUA6NLw09EwE0CqkOc4q9oUmW1yo/edit?usp=sharing"",""พิษณุโลก!J291"")"),100)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IFERROR(__xludf.DUMMYFUNCTION("IMPORTRANGE(""https://docs.google.com/spreadsheets/d/11923uPwbBZFjjGgGUA6NLw09EwE0CqkOc4q9oUmW1yo/edit?usp=sharing"",""พิษณุโลก!I292"")"),1000)</f>
        <v>1000</v>
      </c>
      <c r="J397" s="197">
        <f ca="1">IFERROR(__xludf.DUMMYFUNCTION("IMPORTRANGE(""https://docs.google.com/spreadsheets/d/11923uPwbBZFjjGgGUA6NLw09EwE0CqkOc4q9oUmW1yo/edit?usp=sharing"",""พิษณุโลก!J292"")"),1000)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IFERROR(__xludf.DUMMYFUNCTION("IMPORTRANGE(""https://docs.google.com/spreadsheets/d/11923uPwbBZFjjGgGUA6NLw09EwE0CqkOc4q9oUmW1yo/edit?usp=sharing"",""พิษณุโลก!I293"")"),100)</f>
        <v>100</v>
      </c>
      <c r="J398" s="197">
        <f ca="1">IFERROR(__xludf.DUMMYFUNCTION("IMPORTRANGE(""https://docs.google.com/spreadsheets/d/11923uPwbBZFjjGgGUA6NLw09EwE0CqkOc4q9oUmW1yo/edit?usp=sharing"",""พิษณุโลก!J293"")"),0)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IFERROR(__xludf.DUMMYFUNCTION("IMPORTRANGE(""https://docs.google.com/spreadsheets/d/11923uPwbBZFjjGgGUA6NLw09EwE0CqkOc4q9oUmW1yo/edit?usp=sharing"",""พิษณุโลก!J294"")"),0)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IFERROR(__xludf.DUMMYFUNCTION("IMPORTRANGE(""https://docs.google.com/spreadsheets/d/11923uPwbBZFjjGgGUA6NLw09EwE0CqkOc4q9oUmW1yo/edit?usp=sharing"",""พิษณุโลก!J295"")"),0)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IFERROR(__xludf.DUMMYFUNCTION("IMPORTRANGE(""https://docs.google.com/spreadsheets/d/11923uPwbBZFjjGgGUA6NLw09EwE0CqkOc4q9oUmW1yo/edit?usp=sharing"",""พิษณุโลก!I296"")"),225)</f>
        <v>225</v>
      </c>
      <c r="J401" s="369">
        <f ca="1">IFERROR(__xludf.DUMMYFUNCTION("IMPORTRANGE(""https://docs.google.com/spreadsheets/d/11923uPwbBZFjjGgGUA6NLw09EwE0CqkOc4q9oUmW1yo/edit?usp=sharing"",""พิษณุโลก!J296"")"),195)</f>
        <v>195</v>
      </c>
      <c r="K401" s="370">
        <f t="shared" ref="K401:K402" ca="1" si="111">IF(I401&gt;0,J401*100/I401,0)</f>
        <v>86.666666666666671</v>
      </c>
      <c r="L401" s="371">
        <f ca="1">IFERROR(__xludf.DUMMYFUNCTION("IMPORTRANGE(""https://docs.google.com/spreadsheets/d/11923uPwbBZFjjGgGUA6NLw09EwE0CqkOc4q9oUmW1yo/edit?usp=sharing"",""พิษณุโลก!L296"")"),252320)</f>
        <v>252320</v>
      </c>
      <c r="M401" s="371"/>
      <c r="N401" s="371">
        <f ca="1">IFERROR(__xludf.DUMMYFUNCTION("IMPORTRANGE(""https://docs.google.com/spreadsheets/d/11923uPwbBZFjjGgGUA6NLw09EwE0CqkOc4q9oUmW1yo/edit?usp=sharing"",""พิษณุโลก!M296"")"),73760)</f>
        <v>73760</v>
      </c>
      <c r="O401" s="371">
        <f ca="1">+IF(L401&gt;0,N401*100/L401,0)</f>
        <v>29.232720355104629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IFERROR(__xludf.DUMMYFUNCTION("IMPORTRANGE(""https://docs.google.com/spreadsheets/d/11923uPwbBZFjjGgGUA6NLw09EwE0CqkOc4q9oUmW1yo/edit?usp=sharing"",""พิษณุโลก!I297"")"),75)</f>
        <v>75</v>
      </c>
      <c r="J402" s="369">
        <f ca="1">IFERROR(__xludf.DUMMYFUNCTION("IMPORTRANGE(""https://docs.google.com/spreadsheets/d/11923uPwbBZFjjGgGUA6NLw09EwE0CqkOc4q9oUmW1yo/edit?usp=sharing"",""พิษณุโลก!J297"")"),65)</f>
        <v>65</v>
      </c>
      <c r="K402" s="370">
        <f t="shared" ca="1" si="111"/>
        <v>86.666666666666671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IFERROR(__xludf.DUMMYFUNCTION("IMPORTRANGE(""https://docs.google.com/spreadsheets/d/11923uPwbBZFjjGgGUA6NLw09EwE0CqkOc4q9oUmW1yo/edit?usp=sharing"",""พิษณุโลก!L298"")"),0)</f>
        <v>0</v>
      </c>
      <c r="M403" s="164"/>
      <c r="N403" s="168">
        <f ca="1">IFERROR(__xludf.DUMMYFUNCTION("IMPORTRANGE(""https://docs.google.com/spreadsheets/d/11923uPwbBZFjjGgGUA6NLw09EwE0CqkOc4q9oUmW1yo/edit?usp=sharing"",""พิษณุโลก!M298"")"),0)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IFERROR(__xludf.DUMMYFUNCTION("IMPORTRANGE(""https://docs.google.com/spreadsheets/d/11923uPwbBZFjjGgGUA6NLw09EwE0CqkOc4q9oUmW1yo/edit?usp=sharing"",""พิษณุโลก!L299"")"),252320)</f>
        <v>252320</v>
      </c>
      <c r="M404" s="165"/>
      <c r="N404" s="168">
        <f ca="1">IFERROR(__xludf.DUMMYFUNCTION("IMPORTRANGE(""https://docs.google.com/spreadsheets/d/11923uPwbBZFjjGgGUA6NLw09EwE0CqkOc4q9oUmW1yo/edit?usp=sharing"",""พิษณุโลก!M299"")"),73760)</f>
        <v>73760</v>
      </c>
      <c r="O404" s="168">
        <f t="shared" ca="1" si="112"/>
        <v>29.232720355104629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IFERROR(__xludf.DUMMYFUNCTION("IMPORTRANGE(""https://docs.google.com/spreadsheets/d/11923uPwbBZFjjGgGUA6NLw09EwE0CqkOc4q9oUmW1yo/edit?usp=sharing"",""พิษณุโลก!L300"")"),0)</f>
        <v>0</v>
      </c>
      <c r="M405" s="168"/>
      <c r="N405" s="168">
        <f ca="1">IFERROR(__xludf.DUMMYFUNCTION("IMPORTRANGE(""https://docs.google.com/spreadsheets/d/11923uPwbBZFjjGgGUA6NLw09EwE0CqkOc4q9oUmW1yo/edit?usp=sharing"",""พิษณุโลก!M300"")"),0)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IFERROR(__xludf.DUMMYFUNCTION("IMPORTRANGE(""https://docs.google.com/spreadsheets/d/11923uPwbBZFjjGgGUA6NLw09EwE0CqkOc4q9oUmW1yo/edit?usp=sharing"",""พิษณุโลก!L301"")"),252320)</f>
        <v>252320</v>
      </c>
      <c r="M406" s="168"/>
      <c r="N406" s="168">
        <f ca="1">IFERROR(__xludf.DUMMYFUNCTION("IMPORTRANGE(""https://docs.google.com/spreadsheets/d/11923uPwbBZFjjGgGUA6NLw09EwE0CqkOc4q9oUmW1yo/edit?usp=sharing"",""พิษณุโลก!M301"")"),73760)</f>
        <v>73760</v>
      </c>
      <c r="O406" s="168">
        <f t="shared" ca="1" si="112"/>
        <v>29.232720355104629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IFERROR(__xludf.DUMMYFUNCTION("IMPORTRANGE(""https://docs.google.com/spreadsheets/d/11923uPwbBZFjjGgGUA6NLw09EwE0CqkOc4q9oUmW1yo/edit?usp=sharing"",""พิษณุโลก!M302"")"),73760)</f>
        <v>73760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IFERROR(__xludf.DUMMYFUNCTION("IMPORTRANGE(""https://docs.google.com/spreadsheets/d/11923uPwbBZFjjGgGUA6NLw09EwE0CqkOc4q9oUmW1yo/edit?usp=sharing"",""พิษณุโลก!M303"")"),0)</f>
        <v>0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IFERROR(__xludf.DUMMYFUNCTION("IMPORTRANGE(""https://docs.google.com/spreadsheets/d/11923uPwbBZFjjGgGUA6NLw09EwE0CqkOc4q9oUmW1yo/edit?usp=sharing"",""พิษณุโลก!M304"")"),0)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IFERROR(__xludf.DUMMYFUNCTION("IMPORTRANGE(""https://docs.google.com/spreadsheets/d/11923uPwbBZFjjGgGUA6NLw09EwE0CqkOc4q9oUmW1yo/edit?usp=sharing"",""พิษณุโลก!M305"")"),0)</f>
        <v>0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IFERROR(__xludf.DUMMYFUNCTION("IMPORTRANGE(""https://docs.google.com/spreadsheets/d/11923uPwbBZFjjGgGUA6NLw09EwE0CqkOc4q9oUmW1yo/edit?usp=sharing"",""พิษณุโลก!J307"")"),0)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IFERROR(__xludf.DUMMYFUNCTION("IMPORTRANGE(""https://docs.google.com/spreadsheets/d/11923uPwbBZFjjGgGUA6NLw09EwE0CqkOc4q9oUmW1yo/edit?usp=sharing"",""พิษณุโลก!J308"")"),1)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IFERROR(__xludf.DUMMYFUNCTION("IMPORTRANGE(""https://docs.google.com/spreadsheets/d/11923uPwbBZFjjGgGUA6NLw09EwE0CqkOc4q9oUmW1yo/edit?usp=sharing"",""พิษณุโลก!J309"")"),1)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IFERROR(__xludf.DUMMYFUNCTION("IMPORTRANGE(""https://docs.google.com/spreadsheets/d/11923uPwbBZFjjGgGUA6NLw09EwE0CqkOc4q9oUmW1yo/edit?usp=sharing"",""พิษณุโลก!J310"")"),1)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IFERROR(__xludf.DUMMYFUNCTION("IMPORTRANGE(""https://docs.google.com/spreadsheets/d/11923uPwbBZFjjGgGUA6NLw09EwE0CqkOc4q9oUmW1yo/edit?usp=sharing"",""พิษณุโลก!I311"")"),75)</f>
        <v>75</v>
      </c>
      <c r="J416" s="200">
        <f ca="1">IFERROR(__xludf.DUMMYFUNCTION("IMPORTRANGE(""https://docs.google.com/spreadsheets/d/11923uPwbBZFjjGgGUA6NLw09EwE0CqkOc4q9oUmW1yo/edit?usp=sharing"",""พิษณุโลก!J311"")"),65)</f>
        <v>65</v>
      </c>
      <c r="K416" s="201">
        <f t="shared" ref="K416:K432" ca="1" si="113">IF(I416&gt;0,J416*100/I416,0)</f>
        <v>86.666666666666671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IFERROR(__xludf.DUMMYFUNCTION("IMPORTRANGE(""https://docs.google.com/spreadsheets/d/11923uPwbBZFjjGgGUA6NLw09EwE0CqkOc4q9oUmW1yo/edit?usp=sharing"",""พิษณุโลก!I312"")"),25)</f>
        <v>25</v>
      </c>
      <c r="J417" s="390">
        <f ca="1">IFERROR(__xludf.DUMMYFUNCTION("IMPORTRANGE(""https://docs.google.com/spreadsheets/d/11923uPwbBZFjjGgGUA6NLw09EwE0CqkOc4q9oUmW1yo/edit?usp=sharing"",""พิษณุโลก!J312"")"),25)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IFERROR(__xludf.DUMMYFUNCTION("IMPORTRANGE(""https://docs.google.com/spreadsheets/d/11923uPwbBZFjjGgGUA6NLw09EwE0CqkOc4q9oUmW1yo/edit?usp=sharing"",""พิษณุโลก!I313"")"),75)</f>
        <v>75</v>
      </c>
      <c r="J418" s="391">
        <f ca="1">IFERROR(__xludf.DUMMYFUNCTION("IMPORTRANGE(""https://docs.google.com/spreadsheets/d/11923uPwbBZFjjGgGUA6NLw09EwE0CqkOc4q9oUmW1yo/edit?usp=sharing"",""พิษณุโลก!J313"")"),75)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IFERROR(__xludf.DUMMYFUNCTION("IMPORTRANGE(""https://docs.google.com/spreadsheets/d/11923uPwbBZFjjGgGUA6NLw09EwE0CqkOc4q9oUmW1yo/edit?usp=sharing"",""พิษณุโลก!I314"")"),25)</f>
        <v>25</v>
      </c>
      <c r="J419" s="392">
        <f ca="1">IFERROR(__xludf.DUMMYFUNCTION("IMPORTRANGE(""https://docs.google.com/spreadsheets/d/11923uPwbBZFjjGgGUA6NLw09EwE0CqkOc4q9oUmW1yo/edit?usp=sharing"",""พิษณุโลก!J314"")"),25)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IFERROR(__xludf.DUMMYFUNCTION("IMPORTRANGE(""https://docs.google.com/spreadsheets/d/11923uPwbBZFjjGgGUA6NLw09EwE0CqkOc4q9oUmW1yo/edit?usp=sharing"",""พิษณุโลก!I315"")"),25)</f>
        <v>25</v>
      </c>
      <c r="J420" s="392">
        <f ca="1">IFERROR(__xludf.DUMMYFUNCTION("IMPORTRANGE(""https://docs.google.com/spreadsheets/d/11923uPwbBZFjjGgGUA6NLw09EwE0CqkOc4q9oUmW1yo/edit?usp=sharing"",""พิษณุโลก!J315"")"),25)</f>
        <v>25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IFERROR(__xludf.DUMMYFUNCTION("IMPORTRANGE(""https://docs.google.com/spreadsheets/d/11923uPwbBZFjjGgGUA6NLw09EwE0CqkOc4q9oUmW1yo/edit?usp=sharing"",""พิษณุโลก!I316"")"),40)</f>
        <v>40</v>
      </c>
      <c r="J421" s="390">
        <f ca="1">IFERROR(__xludf.DUMMYFUNCTION("IMPORTRANGE(""https://docs.google.com/spreadsheets/d/11923uPwbBZFjjGgGUA6NLw09EwE0CqkOc4q9oUmW1yo/edit?usp=sharing"",""พิษณุโลก!J316"")"),40)</f>
        <v>40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IFERROR(__xludf.DUMMYFUNCTION("IMPORTRANGE(""https://docs.google.com/spreadsheets/d/11923uPwbBZFjjGgGUA6NLw09EwE0CqkOc4q9oUmW1yo/edit?usp=sharing"",""พิษณุโลก!I317"")"),120)</f>
        <v>120</v>
      </c>
      <c r="J422" s="391">
        <f ca="1">IFERROR(__xludf.DUMMYFUNCTION("IMPORTRANGE(""https://docs.google.com/spreadsheets/d/11923uPwbBZFjjGgGUA6NLw09EwE0CqkOc4q9oUmW1yo/edit?usp=sharing"",""พิษณุโลก!J317"")"),120)</f>
        <v>120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IFERROR(__xludf.DUMMYFUNCTION("IMPORTRANGE(""https://docs.google.com/spreadsheets/d/11923uPwbBZFjjGgGUA6NLw09EwE0CqkOc4q9oUmW1yo/edit?usp=sharing"",""พิษณุโลก!I318"")"),40)</f>
        <v>40</v>
      </c>
      <c r="J423" s="392">
        <f ca="1">IFERROR(__xludf.DUMMYFUNCTION("IMPORTRANGE(""https://docs.google.com/spreadsheets/d/11923uPwbBZFjjGgGUA6NLw09EwE0CqkOc4q9oUmW1yo/edit?usp=sharing"",""พิษณุโลก!J318"")"),40)</f>
        <v>40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IFERROR(__xludf.DUMMYFUNCTION("IMPORTRANGE(""https://docs.google.com/spreadsheets/d/11923uPwbBZFjjGgGUA6NLw09EwE0CqkOc4q9oUmW1yo/edit?usp=sharing"",""พิษณุโลก!I319"")"),40)</f>
        <v>40</v>
      </c>
      <c r="J424" s="392">
        <f ca="1">IFERROR(__xludf.DUMMYFUNCTION("IMPORTRANGE(""https://docs.google.com/spreadsheets/d/11923uPwbBZFjjGgGUA6NLw09EwE0CqkOc4q9oUmW1yo/edit?usp=sharing"",""พิษณุโลก!J319"")"),40)</f>
        <v>40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IFERROR(__xludf.DUMMYFUNCTION("IMPORTRANGE(""https://docs.google.com/spreadsheets/d/11923uPwbBZFjjGgGUA6NLw09EwE0CqkOc4q9oUmW1yo/edit?usp=sharing"",""พิษณุโลก!I320"")"),40)</f>
        <v>40</v>
      </c>
      <c r="J425" s="392">
        <f ca="1">IFERROR(__xludf.DUMMYFUNCTION("IMPORTRANGE(""https://docs.google.com/spreadsheets/d/11923uPwbBZFjjGgGUA6NLw09EwE0CqkOc4q9oUmW1yo/edit?usp=sharing"",""พิษณุโลก!J320"")"),40)</f>
        <v>40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IFERROR(__xludf.DUMMYFUNCTION("IMPORTRANGE(""https://docs.google.com/spreadsheets/d/11923uPwbBZFjjGgGUA6NLw09EwE0CqkOc4q9oUmW1yo/edit?usp=sharing"",""พิษณุโลก!I321"")"),10)</f>
        <v>10</v>
      </c>
      <c r="J426" s="390">
        <f ca="1">IFERROR(__xludf.DUMMYFUNCTION("IMPORTRANGE(""https://docs.google.com/spreadsheets/d/11923uPwbBZFjjGgGUA6NLw09EwE0CqkOc4q9oUmW1yo/edit?usp=sharing"",""พิษณุโลก!J321"")"),0)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IFERROR(__xludf.DUMMYFUNCTION("IMPORTRANGE(""https://docs.google.com/spreadsheets/d/11923uPwbBZFjjGgGUA6NLw09EwE0CqkOc4q9oUmW1yo/edit?usp=sharing"",""พิษณุโลก!I322"")"),30)</f>
        <v>30</v>
      </c>
      <c r="J427" s="391">
        <f ca="1">IFERROR(__xludf.DUMMYFUNCTION("IMPORTRANGE(""https://docs.google.com/spreadsheets/d/11923uPwbBZFjjGgGUA6NLw09EwE0CqkOc4q9oUmW1yo/edit?usp=sharing"",""พิษณุโลก!J322"")"),0)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IFERROR(__xludf.DUMMYFUNCTION("IMPORTRANGE(""https://docs.google.com/spreadsheets/d/11923uPwbBZFjjGgGUA6NLw09EwE0CqkOc4q9oUmW1yo/edit?usp=sharing"",""พิษณุโลก!I323"")"),10)</f>
        <v>10</v>
      </c>
      <c r="J428" s="392">
        <f ca="1">IFERROR(__xludf.DUMMYFUNCTION("IMPORTRANGE(""https://docs.google.com/spreadsheets/d/11923uPwbBZFjjGgGUA6NLw09EwE0CqkOc4q9oUmW1yo/edit?usp=sharing"",""พิษณุโลก!J323"")"),0)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IFERROR(__xludf.DUMMYFUNCTION("IMPORTRANGE(""https://docs.google.com/spreadsheets/d/11923uPwbBZFjjGgGUA6NLw09EwE0CqkOc4q9oUmW1yo/edit?usp=sharing"",""พิษณุโลก!I324"")"),10)</f>
        <v>10</v>
      </c>
      <c r="J429" s="392">
        <f ca="1">IFERROR(__xludf.DUMMYFUNCTION("IMPORTRANGE(""https://docs.google.com/spreadsheets/d/11923uPwbBZFjjGgGUA6NLw09EwE0CqkOc4q9oUmW1yo/edit?usp=sharing"",""พิษณุโลก!J324"")"),0)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IFERROR(__xludf.DUMMYFUNCTION("IMPORTRANGE(""https://docs.google.com/spreadsheets/d/11923uPwbBZFjjGgGUA6NLw09EwE0CqkOc4q9oUmW1yo/edit?usp=sharing"",""พิษณุโลก!I325"")"),65)</f>
        <v>65</v>
      </c>
      <c r="J430" s="390">
        <f ca="1">IFERROR(__xludf.DUMMYFUNCTION("IMPORTRANGE(""https://docs.google.com/spreadsheets/d/11923uPwbBZFjjGgGUA6NLw09EwE0CqkOc4q9oUmW1yo/edit?usp=sharing"",""พิษณุโลก!J325"")"),0)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IFERROR(__xludf.DUMMYFUNCTION("IMPORTRANGE(""https://docs.google.com/spreadsheets/d/11923uPwbBZFjjGgGUA6NLw09EwE0CqkOc4q9oUmW1yo/edit?usp=sharing"",""พิษณุโลก!I326"")"),25)</f>
        <v>25</v>
      </c>
      <c r="J431" s="392">
        <f ca="1">IFERROR(__xludf.DUMMYFUNCTION("IMPORTRANGE(""https://docs.google.com/spreadsheets/d/11923uPwbBZFjjGgGUA6NLw09EwE0CqkOc4q9oUmW1yo/edit?usp=sharing"",""พิษณุโลก!J326"")"),0)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IFERROR(__xludf.DUMMYFUNCTION("IMPORTRANGE(""https://docs.google.com/spreadsheets/d/11923uPwbBZFjjGgGUA6NLw09EwE0CqkOc4q9oUmW1yo/edit?usp=sharing"",""พิษณุโลก!I327"")"),40)</f>
        <v>40</v>
      </c>
      <c r="J432" s="392">
        <f ca="1">IFERROR(__xludf.DUMMYFUNCTION("IMPORTRANGE(""https://docs.google.com/spreadsheets/d/11923uPwbBZFjjGgGUA6NLw09EwE0CqkOc4q9oUmW1yo/edit?usp=sharing"",""พิษณุโลก!J327"")"),0)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IFERROR(__xludf.DUMMYFUNCTION("IMPORTRANGE(""https://docs.google.com/spreadsheets/d/11923uPwbBZFjjGgGUA6NLw09EwE0CqkOc4q9oUmW1yo/edit?usp=sharing"",""พิษณุโลก!J328"")"),0)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IFERROR(__xludf.DUMMYFUNCTION("IMPORTRANGE(""https://docs.google.com/spreadsheets/d/11923uPwbBZFjjGgGUA6NLw09EwE0CqkOc4q9oUmW1yo/edit?usp=sharing"",""พิษณุโลก!J329"")"),0)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IFERROR(__xludf.DUMMYFUNCTION("IMPORTRANGE(""https://docs.google.com/spreadsheets/d/11923uPwbBZFjjGgGUA6NLw09EwE0CqkOc4q9oUmW1yo/edit?usp=sharing"",""พิษณุโลก!I330"")"),20)</f>
        <v>20</v>
      </c>
      <c r="J435" s="408">
        <f ca="1">IFERROR(__xludf.DUMMYFUNCTION("IMPORTRANGE(""https://docs.google.com/spreadsheets/d/11923uPwbBZFjjGgGUA6NLw09EwE0CqkOc4q9oUmW1yo/edit?usp=sharing"",""พิษณุโลก!J330"")"),20)</f>
        <v>20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IFERROR(__xludf.DUMMYFUNCTION("IMPORTRANGE(""https://docs.google.com/spreadsheets/d/11923uPwbBZFjjGgGUA6NLw09EwE0CqkOc4q9oUmW1yo/edit?usp=sharing"",""พิษณุโลก!L330"")"),100000)</f>
        <v>100000</v>
      </c>
      <c r="M435" s="410"/>
      <c r="N435" s="410">
        <f ca="1">IFERROR(__xludf.DUMMYFUNCTION("IMPORTRANGE(""https://docs.google.com/spreadsheets/d/11923uPwbBZFjjGgGUA6NLw09EwE0CqkOc4q9oUmW1yo/edit?usp=sharing"",""พิษณุโลก!M330"")"),6860)</f>
        <v>6860</v>
      </c>
      <c r="O435" s="410">
        <f t="shared" ref="O435:O439" ca="1" si="114">+IF(L435&gt;0,N435*100/L435,0)</f>
        <v>6.86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IFERROR(__xludf.DUMMYFUNCTION("IMPORTRANGE(""https://docs.google.com/spreadsheets/d/11923uPwbBZFjjGgGUA6NLw09EwE0CqkOc4q9oUmW1yo/edit?usp=sharing"",""พิษณุโลก!L331"")"),0)</f>
        <v>0</v>
      </c>
      <c r="M436" s="164"/>
      <c r="N436" s="168">
        <f ca="1">IFERROR(__xludf.DUMMYFUNCTION("IMPORTRANGE(""https://docs.google.com/spreadsheets/d/11923uPwbBZFjjGgGUA6NLw09EwE0CqkOc4q9oUmW1yo/edit?usp=sharing"",""พิษณุโลก!M331"")"),0)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IFERROR(__xludf.DUMMYFUNCTION("IMPORTRANGE(""https://docs.google.com/spreadsheets/d/11923uPwbBZFjjGgGUA6NLw09EwE0CqkOc4q9oUmW1yo/edit?usp=sharing"",""พิษณุโลก!L332"")"),100000)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IFERROR(__xludf.DUMMYFUNCTION("IMPORTRANGE(""https://docs.google.com/spreadsheets/d/11923uPwbBZFjjGgGUA6NLw09EwE0CqkOc4q9oUmW1yo/edit?usp=sharing"",""พิษณุโลก!M332"")"),6860)</f>
        <v>6860</v>
      </c>
      <c r="O437" s="168">
        <f t="shared" ca="1" si="114"/>
        <v>6.86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IFERROR(__xludf.DUMMYFUNCTION("IMPORTRANGE(""https://docs.google.com/spreadsheets/d/11923uPwbBZFjjGgGUA6NLw09EwE0CqkOc4q9oUmW1yo/edit?usp=sharing"",""พิษณุโลก!L333"")"),0)</f>
        <v>0</v>
      </c>
      <c r="M438" s="168"/>
      <c r="N438" s="168">
        <f ca="1">IFERROR(__xludf.DUMMYFUNCTION("IMPORTRANGE(""https://docs.google.com/spreadsheets/d/11923uPwbBZFjjGgGUA6NLw09EwE0CqkOc4q9oUmW1yo/edit?usp=sharing"",""พิษณุโลก!M333"")"),0)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IFERROR(__xludf.DUMMYFUNCTION("IMPORTRANGE(""https://docs.google.com/spreadsheets/d/11923uPwbBZFjjGgGUA6NLw09EwE0CqkOc4q9oUmW1yo/edit?usp=sharing"",""พิษณุโลก!L334"")"),100000)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IFERROR(__xludf.DUMMYFUNCTION("IMPORTRANGE(""https://docs.google.com/spreadsheets/d/11923uPwbBZFjjGgGUA6NLw09EwE0CqkOc4q9oUmW1yo/edit?usp=sharing"",""พิษณุโลก!M334"")"),6860)</f>
        <v>6860</v>
      </c>
      <c r="O439" s="168">
        <f t="shared" ca="1" si="114"/>
        <v>6.86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IFERROR(__xludf.DUMMYFUNCTION("IMPORTRANGE(""https://docs.google.com/spreadsheets/d/11923uPwbBZFjjGgGUA6NLw09EwE0CqkOc4q9oUmW1yo/edit?usp=sharing"",""พิษณุโลก!M335"")"),6860)</f>
        <v>6860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IFERROR(__xludf.DUMMYFUNCTION("IMPORTRANGE(""https://docs.google.com/spreadsheets/d/11923uPwbBZFjjGgGUA6NLw09EwE0CqkOc4q9oUmW1yo/edit?usp=sharing"",""พิษณุโลก!M336"")"),0)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IFERROR(__xludf.DUMMYFUNCTION("IMPORTRANGE(""https://docs.google.com/spreadsheets/d/11923uPwbBZFjjGgGUA6NLw09EwE0CqkOc4q9oUmW1yo/edit?usp=sharing"",""พิษณุโลก!M337"")"),0)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IFERROR(__xludf.DUMMYFUNCTION("IMPORTRANGE(""https://docs.google.com/spreadsheets/d/11923uPwbBZFjjGgGUA6NLw09EwE0CqkOc4q9oUmW1yo/edit?usp=sharing"",""พิษณุโลก!M338"")"),0)</f>
        <v>0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IFERROR(__xludf.DUMMYFUNCTION("IMPORTRANGE(""https://docs.google.com/spreadsheets/d/11923uPwbBZFjjGgGUA6NLw09EwE0CqkOc4q9oUmW1yo/edit?usp=sharing"",""พิษณุโลก!J340"")"),0)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IFERROR(__xludf.DUMMYFUNCTION("IMPORTRANGE(""https://docs.google.com/spreadsheets/d/11923uPwbBZFjjGgGUA6NLw09EwE0CqkOc4q9oUmW1yo/edit?usp=sharing"",""พิษณุโลก!J341"")"),1)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IFERROR(__xludf.DUMMYFUNCTION("IMPORTRANGE(""https://docs.google.com/spreadsheets/d/11923uPwbBZFjjGgGUA6NLw09EwE0CqkOc4q9oUmW1yo/edit?usp=sharing"",""พิษณุโลก!J342"")"),1)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IFERROR(__xludf.DUMMYFUNCTION("IMPORTRANGE(""https://docs.google.com/spreadsheets/d/11923uPwbBZFjjGgGUA6NLw09EwE0CqkOc4q9oUmW1yo/edit?usp=sharing"",""พิษณุโลก!J343"")"),1)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IFERROR(__xludf.DUMMYFUNCTION("IMPORTRANGE(""https://docs.google.com/spreadsheets/d/11923uPwbBZFjjGgGUA6NLw09EwE0CqkOc4q9oUmW1yo/edit?usp=sharing"",""พิษณุโลก!I344"")"),20)</f>
        <v>20</v>
      </c>
      <c r="J449" s="200">
        <f ca="1">IFERROR(__xludf.DUMMYFUNCTION("IMPORTRANGE(""https://docs.google.com/spreadsheets/d/11923uPwbBZFjjGgGUA6NLw09EwE0CqkOc4q9oUmW1yo/edit?usp=sharing"",""พิษณุโลก!J344"")"),20)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IFERROR(__xludf.DUMMYFUNCTION("IMPORTRANGE(""https://docs.google.com/spreadsheets/d/11923uPwbBZFjjGgGUA6NLw09EwE0CqkOc4q9oUmW1yo/edit?usp=sharing"",""พิษณุโลก!I345"")"),20)</f>
        <v>20</v>
      </c>
      <c r="J450" s="188">
        <f ca="1">IFERROR(__xludf.DUMMYFUNCTION("IMPORTRANGE(""https://docs.google.com/spreadsheets/d/11923uPwbBZFjjGgGUA6NLw09EwE0CqkOc4q9oUmW1yo/edit?usp=sharing"",""พิษณุโลก!J345"")"),20)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IFERROR(__xludf.DUMMYFUNCTION("IMPORTRANGE(""https://docs.google.com/spreadsheets/d/11923uPwbBZFjjGgGUA6NLw09EwE0CqkOc4q9oUmW1yo/edit?usp=sharing"",""พิษณุโลก!I346"")"),0)</f>
        <v>0</v>
      </c>
      <c r="J451" s="187">
        <f ca="1">IFERROR(__xludf.DUMMYFUNCTION("IMPORTRANGE(""https://docs.google.com/spreadsheets/d/11923uPwbBZFjjGgGUA6NLw09EwE0CqkOc4q9oUmW1yo/edit?usp=sharing"",""พิษณุโลก!J346"")"),0)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IFERROR(__xludf.DUMMYFUNCTION("IMPORTRANGE(""https://docs.google.com/spreadsheets/d/11923uPwbBZFjjGgGUA6NLw09EwE0CqkOc4q9oUmW1yo/edit?usp=sharing"",""พิษณุโลก!I347"")"),0)</f>
        <v>0</v>
      </c>
      <c r="J452" s="187">
        <f ca="1">IFERROR(__xludf.DUMMYFUNCTION("IMPORTRANGE(""https://docs.google.com/spreadsheets/d/11923uPwbBZFjjGgGUA6NLw09EwE0CqkOc4q9oUmW1yo/edit?usp=sharing"",""พิษณุโลก!J347"")"),0)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IFERROR(__xludf.DUMMYFUNCTION("IMPORTRANGE(""https://docs.google.com/spreadsheets/d/11923uPwbBZFjjGgGUA6NLw09EwE0CqkOc4q9oUmW1yo/edit?usp=sharing"",""พิษณุโลก!J348"")"),0)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IFERROR(__xludf.DUMMYFUNCTION("IMPORTRANGE(""https://docs.google.com/spreadsheets/d/11923uPwbBZFjjGgGUA6NLw09EwE0CqkOc4q9oUmW1yo/edit?usp=sharing"",""พิษณุโลก!J349"")"),0)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IFERROR(__xludf.DUMMYFUNCTION("IMPORTRANGE(""https://docs.google.com/spreadsheets/d/11923uPwbBZFjjGgGUA6NLw09EwE0CqkOc4q9oUmW1yo/edit?usp=sharing"",""พิษณุโลก!I350"")"),63132)</f>
        <v>63132</v>
      </c>
      <c r="J455" s="369">
        <f ca="1">IFERROR(__xludf.DUMMYFUNCTION("IMPORTRANGE(""https://docs.google.com/spreadsheets/d/11923uPwbBZFjjGgGUA6NLw09EwE0CqkOc4q9oUmW1yo/edit?usp=sharing"",""พิษณุโลก!J350"")"),0)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IFERROR(__xludf.DUMMYFUNCTION("IMPORTRANGE(""https://docs.google.com/spreadsheets/d/11923uPwbBZFjjGgGUA6NLw09EwE0CqkOc4q9oUmW1yo/edit?usp=sharing"",""พิษณุโลก!L350"")"),513545)</f>
        <v>513545</v>
      </c>
      <c r="M455" s="371"/>
      <c r="N455" s="371">
        <f ca="1">IFERROR(__xludf.DUMMYFUNCTION("IMPORTRANGE(""https://docs.google.com/spreadsheets/d/11923uPwbBZFjjGgGUA6NLw09EwE0CqkOc4q9oUmW1yo/edit?usp=sharing"",""พิษณุโลก!M350"")"),96673.25)</f>
        <v>96673.25</v>
      </c>
      <c r="O455" s="371">
        <f t="shared" ref="O455:O459" ca="1" si="116">+IF(L455&gt;0,N455*100/L455,0)</f>
        <v>18.824689170374555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IFERROR(__xludf.DUMMYFUNCTION("IMPORTRANGE(""https://docs.google.com/spreadsheets/d/11923uPwbBZFjjGgGUA6NLw09EwE0CqkOc4q9oUmW1yo/edit?usp=sharing"",""พิษณุโลก!L351"")"),0)</f>
        <v>0</v>
      </c>
      <c r="M456" s="164"/>
      <c r="N456" s="168">
        <f ca="1">IFERROR(__xludf.DUMMYFUNCTION("IMPORTRANGE(""https://docs.google.com/spreadsheets/d/11923uPwbBZFjjGgGUA6NLw09EwE0CqkOc4q9oUmW1yo/edit?usp=sharing"",""พิษณุโลก!M351"")"),0)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IFERROR(__xludf.DUMMYFUNCTION("IMPORTRANGE(""https://docs.google.com/spreadsheets/d/11923uPwbBZFjjGgGUA6NLw09EwE0CqkOc4q9oUmW1yo/edit?usp=sharing"",""พิษณุโลก!L352"")"),513545)</f>
        <v>513545</v>
      </c>
      <c r="M457" s="165"/>
      <c r="N457" s="168">
        <f ca="1">IFERROR(__xludf.DUMMYFUNCTION("IMPORTRANGE(""https://docs.google.com/spreadsheets/d/11923uPwbBZFjjGgGUA6NLw09EwE0CqkOc4q9oUmW1yo/edit?usp=sharing"",""พิษณุโลก!M352"")"),96673.25)</f>
        <v>96673.25</v>
      </c>
      <c r="O457" s="168">
        <f t="shared" ca="1" si="116"/>
        <v>18.824689170374555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IFERROR(__xludf.DUMMYFUNCTION("IMPORTRANGE(""https://docs.google.com/spreadsheets/d/11923uPwbBZFjjGgGUA6NLw09EwE0CqkOc4q9oUmW1yo/edit?usp=sharing"",""พิษณุโลก!L353"")"),0)</f>
        <v>0</v>
      </c>
      <c r="M458" s="168"/>
      <c r="N458" s="168">
        <f ca="1">IFERROR(__xludf.DUMMYFUNCTION("IMPORTRANGE(""https://docs.google.com/spreadsheets/d/11923uPwbBZFjjGgGUA6NLw09EwE0CqkOc4q9oUmW1yo/edit?usp=sharing"",""พิษณุโลก!M353"")"),0)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IFERROR(__xludf.DUMMYFUNCTION("IMPORTRANGE(""https://docs.google.com/spreadsheets/d/11923uPwbBZFjjGgGUA6NLw09EwE0CqkOc4q9oUmW1yo/edit?usp=sharing"",""พิษณุโลก!L354"")"),513545)</f>
        <v>513545</v>
      </c>
      <c r="M459" s="168"/>
      <c r="N459" s="168">
        <f ca="1">IFERROR(__xludf.DUMMYFUNCTION("IMPORTRANGE(""https://docs.google.com/spreadsheets/d/11923uPwbBZFjjGgGUA6NLw09EwE0CqkOc4q9oUmW1yo/edit?usp=sharing"",""พิษณุโลก!M354"")"),96673.25)</f>
        <v>96673.25</v>
      </c>
      <c r="O459" s="168">
        <f t="shared" ca="1" si="116"/>
        <v>18.824689170374555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IFERROR(__xludf.DUMMYFUNCTION("IMPORTRANGE(""https://docs.google.com/spreadsheets/d/11923uPwbBZFjjGgGUA6NLw09EwE0CqkOc4q9oUmW1yo/edit?usp=sharing"",""พิษณุโลก!M355"")"),0)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IFERROR(__xludf.DUMMYFUNCTION("IMPORTRANGE(""https://docs.google.com/spreadsheets/d/11923uPwbBZFjjGgGUA6NLw09EwE0CqkOc4q9oUmW1yo/edit?usp=sharing"",""พิษณุโลก!M356"")"),0)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IFERROR(__xludf.DUMMYFUNCTION("IMPORTRANGE(""https://docs.google.com/spreadsheets/d/11923uPwbBZFjjGgGUA6NLw09EwE0CqkOc4q9oUmW1yo/edit?usp=sharing"",""พิษณุโลก!M357"")"),42545.25)</f>
        <v>42545.25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IFERROR(__xludf.DUMMYFUNCTION("IMPORTRANGE(""https://docs.google.com/spreadsheets/d/11923uPwbBZFjjGgGUA6NLw09EwE0CqkOc4q9oUmW1yo/edit?usp=sharing"",""พิษณุโลก!M358"")"),54128)</f>
        <v>54128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IFERROR(__xludf.DUMMYFUNCTION("IMPORTRANGE(""https://docs.google.com/spreadsheets/d/11923uPwbBZFjjGgGUA6NLw09EwE0CqkOc4q9oUmW1yo/edit?usp=sharing"",""พิษณุโลก!I359"")"),63132)</f>
        <v>63132</v>
      </c>
      <c r="J464" s="266">
        <f ca="1">IFERROR(__xludf.DUMMYFUNCTION("IMPORTRANGE(""https://docs.google.com/spreadsheets/d/11923uPwbBZFjjGgGUA6NLw09EwE0CqkOc4q9oUmW1yo/edit?usp=sharing"",""พิษณุโลก!J359"")"),0)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IFERROR(__xludf.DUMMYFUNCTION("IMPORTRANGE(""https://docs.google.com/spreadsheets/d/11923uPwbBZFjjGgGUA6NLw09EwE0CqkOc4q9oUmW1yo/edit?usp=sharing"",""พิษณุโลก!I360"")"),63132)</f>
        <v>63132</v>
      </c>
      <c r="J465" s="418">
        <f ca="1">IFERROR(__xludf.DUMMYFUNCTION("IMPORTRANGE(""https://docs.google.com/spreadsheets/d/11923uPwbBZFjjGgGUA6NLw09EwE0CqkOc4q9oUmW1yo/edit?usp=sharing"",""พิษณุโลก!J360"")"),63063.29)</f>
        <v>63063.29</v>
      </c>
      <c r="K465" s="201">
        <f t="shared" ca="1" si="117"/>
        <v>99.891164544129765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IFERROR(__xludf.DUMMYFUNCTION("IMPORTRANGE(""https://docs.google.com/spreadsheets/d/11923uPwbBZFjjGgGUA6NLw09EwE0CqkOc4q9oUmW1yo/edit?usp=sharing"",""พิษณุโลก!I361"")"),5640)</f>
        <v>5640</v>
      </c>
      <c r="J466" s="418">
        <f ca="1">IFERROR(__xludf.DUMMYFUNCTION("IMPORTRANGE(""https://docs.google.com/spreadsheets/d/11923uPwbBZFjjGgGUA6NLw09EwE0CqkOc4q9oUmW1yo/edit?usp=sharing"",""พิษณุโลก!J361"")"),5549)</f>
        <v>5549</v>
      </c>
      <c r="K466" s="201">
        <f t="shared" ca="1" si="117"/>
        <v>98.386524822695037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IFERROR(__xludf.DUMMYFUNCTION("IMPORTRANGE(""https://docs.google.com/spreadsheets/d/11923uPwbBZFjjGgGUA6NLw09EwE0CqkOc4q9oUmW1yo/edit?usp=sharing"",""พิษณุโลก!I362"")"),0)</f>
        <v>0</v>
      </c>
      <c r="J467" s="188">
        <f ca="1">IFERROR(__xludf.DUMMYFUNCTION("IMPORTRANGE(""https://docs.google.com/spreadsheets/d/11923uPwbBZFjjGgGUA6NLw09EwE0CqkOc4q9oUmW1yo/edit?usp=sharing"",""พิษณุโลก!J362"")"),51556.44)</f>
        <v>51556.44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IFERROR(__xludf.DUMMYFUNCTION("IMPORTRANGE(""https://docs.google.com/spreadsheets/d/11923uPwbBZFjjGgGUA6NLw09EwE0CqkOc4q9oUmW1yo/edit?usp=sharing"",""พิษณุโลก!I363"")"),0)</f>
        <v>0</v>
      </c>
      <c r="J468" s="188">
        <f ca="1">IFERROR(__xludf.DUMMYFUNCTION("IMPORTRANGE(""https://docs.google.com/spreadsheets/d/11923uPwbBZFjjGgGUA6NLw09EwE0CqkOc4q9oUmW1yo/edit?usp=sharing"",""พิษณุโลก!J363"")"),4799)</f>
        <v>4799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IFERROR(__xludf.DUMMYFUNCTION("IMPORTRANGE(""https://docs.google.com/spreadsheets/d/11923uPwbBZFjjGgGUA6NLw09EwE0CqkOc4q9oUmW1yo/edit?usp=sharing"",""พิษณุโลก!I364"")"),0)</f>
        <v>0</v>
      </c>
      <c r="J469" s="188">
        <f ca="1">IFERROR(__xludf.DUMMYFUNCTION("IMPORTRANGE(""https://docs.google.com/spreadsheets/d/11923uPwbBZFjjGgGUA6NLw09EwE0CqkOc4q9oUmW1yo/edit?usp=sharing"",""พิษณุโลก!J364"")"),10619.85)</f>
        <v>10619.85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IFERROR(__xludf.DUMMYFUNCTION("IMPORTRANGE(""https://docs.google.com/spreadsheets/d/11923uPwbBZFjjGgGUA6NLw09EwE0CqkOc4q9oUmW1yo/edit?usp=sharing"",""พิษณุโลก!I365"")"),0)</f>
        <v>0</v>
      </c>
      <c r="J470" s="188">
        <f ca="1">IFERROR(__xludf.DUMMYFUNCTION("IMPORTRANGE(""https://docs.google.com/spreadsheets/d/11923uPwbBZFjjGgGUA6NLw09EwE0CqkOc4q9oUmW1yo/edit?usp=sharing"",""พิษณุโลก!J365"")"),672)</f>
        <v>672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IFERROR(__xludf.DUMMYFUNCTION("IMPORTRANGE(""https://docs.google.com/spreadsheets/d/11923uPwbBZFjjGgGUA6NLw09EwE0CqkOc4q9oUmW1yo/edit?usp=sharing"",""พิษณุโลก!I366"")"),0)</f>
        <v>0</v>
      </c>
      <c r="J471" s="188">
        <f ca="1">IFERROR(__xludf.DUMMYFUNCTION("IMPORTRANGE(""https://docs.google.com/spreadsheets/d/11923uPwbBZFjjGgGUA6NLw09EwE0CqkOc4q9oUmW1yo/edit?usp=sharing"",""พิษณุโลก!J366"")"),887)</f>
        <v>887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IFERROR(__xludf.DUMMYFUNCTION("IMPORTRANGE(""https://docs.google.com/spreadsheets/d/11923uPwbBZFjjGgGUA6NLw09EwE0CqkOc4q9oUmW1yo/edit?usp=sharing"",""พิษณุโลก!I367"")"),0)</f>
        <v>0</v>
      </c>
      <c r="J472" s="188">
        <f ca="1">IFERROR(__xludf.DUMMYFUNCTION("IMPORTRANGE(""https://docs.google.com/spreadsheets/d/11923uPwbBZFjjGgGUA6NLw09EwE0CqkOc4q9oUmW1yo/edit?usp=sharing"",""พิษณุโลก!J367"")"),78)</f>
        <v>78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IFERROR(__xludf.DUMMYFUNCTION("IMPORTRANGE(""https://docs.google.com/spreadsheets/d/11923uPwbBZFjjGgGUA6NLw09EwE0CqkOc4q9oUmW1yo/edit?usp=sharing"",""พิษณุโลก!I368"")"),63132)</f>
        <v>63132</v>
      </c>
      <c r="J473" s="418">
        <f ca="1">IFERROR(__xludf.DUMMYFUNCTION("IMPORTRANGE(""https://docs.google.com/spreadsheets/d/11923uPwbBZFjjGgGUA6NLw09EwE0CqkOc4q9oUmW1yo/edit?usp=sharing"",""พิษณุโลก!J368"")"),0)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IFERROR(__xludf.DUMMYFUNCTION("IMPORTRANGE(""https://docs.google.com/spreadsheets/d/11923uPwbBZFjjGgGUA6NLw09EwE0CqkOc4q9oUmW1yo/edit?usp=sharing"",""พิษณุโลก!I369"")"),5640)</f>
        <v>5640</v>
      </c>
      <c r="J474" s="418">
        <f ca="1">IFERROR(__xludf.DUMMYFUNCTION("IMPORTRANGE(""https://docs.google.com/spreadsheets/d/11923uPwbBZFjjGgGUA6NLw09EwE0CqkOc4q9oUmW1yo/edit?usp=sharing"",""พิษณุโลก!J369"")"),0)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IFERROR(__xludf.DUMMYFUNCTION("IMPORTRANGE(""https://docs.google.com/spreadsheets/d/11923uPwbBZFjjGgGUA6NLw09EwE0CqkOc4q9oUmW1yo/edit?usp=sharing"",""พิษณุโลก!I370"")"),0)</f>
        <v>0</v>
      </c>
      <c r="J475" s="188">
        <f ca="1">IFERROR(__xludf.DUMMYFUNCTION("IMPORTRANGE(""https://docs.google.com/spreadsheets/d/11923uPwbBZFjjGgGUA6NLw09EwE0CqkOc4q9oUmW1yo/edit?usp=sharing"",""พิษณุโลก!J370"")"),0)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IFERROR(__xludf.DUMMYFUNCTION("IMPORTRANGE(""https://docs.google.com/spreadsheets/d/11923uPwbBZFjjGgGUA6NLw09EwE0CqkOc4q9oUmW1yo/edit?usp=sharing"",""พิษณุโลก!I371"")"),0)</f>
        <v>0</v>
      </c>
      <c r="J476" s="188">
        <f ca="1">IFERROR(__xludf.DUMMYFUNCTION("IMPORTRANGE(""https://docs.google.com/spreadsheets/d/11923uPwbBZFjjGgGUA6NLw09EwE0CqkOc4q9oUmW1yo/edit?usp=sharing"",""พิษณุโลก!J371"")"),0)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IFERROR(__xludf.DUMMYFUNCTION("IMPORTRANGE(""https://docs.google.com/spreadsheets/d/11923uPwbBZFjjGgGUA6NLw09EwE0CqkOc4q9oUmW1yo/edit?usp=sharing"",""พิษณุโลก!I372"")"),0)</f>
        <v>0</v>
      </c>
      <c r="J477" s="188">
        <f ca="1">IFERROR(__xludf.DUMMYFUNCTION("IMPORTRANGE(""https://docs.google.com/spreadsheets/d/11923uPwbBZFjjGgGUA6NLw09EwE0CqkOc4q9oUmW1yo/edit?usp=sharing"",""พิษณุโลก!J372"")"),0)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IFERROR(__xludf.DUMMYFUNCTION("IMPORTRANGE(""https://docs.google.com/spreadsheets/d/11923uPwbBZFjjGgGUA6NLw09EwE0CqkOc4q9oUmW1yo/edit?usp=sharing"",""พิษณุโลก!I373"")"),0)</f>
        <v>0</v>
      </c>
      <c r="J478" s="188">
        <f ca="1">IFERROR(__xludf.DUMMYFUNCTION("IMPORTRANGE(""https://docs.google.com/spreadsheets/d/11923uPwbBZFjjGgGUA6NLw09EwE0CqkOc4q9oUmW1yo/edit?usp=sharing"",""พิษณุโลก!J373"")"),0)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IFERROR(__xludf.DUMMYFUNCTION("IMPORTRANGE(""https://docs.google.com/spreadsheets/d/11923uPwbBZFjjGgGUA6NLw09EwE0CqkOc4q9oUmW1yo/edit?usp=sharing"",""พิษณุโลก!I374"")"),0)</f>
        <v>0</v>
      </c>
      <c r="J479" s="188">
        <f ca="1">IFERROR(__xludf.DUMMYFUNCTION("IMPORTRANGE(""https://docs.google.com/spreadsheets/d/11923uPwbBZFjjGgGUA6NLw09EwE0CqkOc4q9oUmW1yo/edit?usp=sharing"",""พิษณุโลก!J374"")"),0)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IFERROR(__xludf.DUMMYFUNCTION("IMPORTRANGE(""https://docs.google.com/spreadsheets/d/11923uPwbBZFjjGgGUA6NLw09EwE0CqkOc4q9oUmW1yo/edit?usp=sharing"",""พิษณุโลก!I375"")"),0)</f>
        <v>0</v>
      </c>
      <c r="J480" s="188">
        <f ca="1">IFERROR(__xludf.DUMMYFUNCTION("IMPORTRANGE(""https://docs.google.com/spreadsheets/d/11923uPwbBZFjjGgGUA6NLw09EwE0CqkOc4q9oUmW1yo/edit?usp=sharing"",""พิษณุโลก!J375"")"),0)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IFERROR(__xludf.DUMMYFUNCTION("IMPORTRANGE(""https://docs.google.com/spreadsheets/d/11923uPwbBZFjjGgGUA6NLw09EwE0CqkOc4q9oUmW1yo/edit?usp=sharing"",""พิษณุโลก!I376"")"),63132)</f>
        <v>63132</v>
      </c>
      <c r="J481" s="418">
        <f ca="1">IFERROR(__xludf.DUMMYFUNCTION("IMPORTRANGE(""https://docs.google.com/spreadsheets/d/11923uPwbBZFjjGgGUA6NLw09EwE0CqkOc4q9oUmW1yo/edit?usp=sharing"",""พิษณุโลก!J376"")"),0)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IFERROR(__xludf.DUMMYFUNCTION("IMPORTRANGE(""https://docs.google.com/spreadsheets/d/11923uPwbBZFjjGgGUA6NLw09EwE0CqkOc4q9oUmW1yo/edit?usp=sharing"",""พิษณุโลก!I377"")"),5640)</f>
        <v>5640</v>
      </c>
      <c r="J482" s="418">
        <f ca="1">IFERROR(__xludf.DUMMYFUNCTION("IMPORTRANGE(""https://docs.google.com/spreadsheets/d/11923uPwbBZFjjGgGUA6NLw09EwE0CqkOc4q9oUmW1yo/edit?usp=sharing"",""พิษณุโลก!J377"")"),0)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IFERROR(__xludf.DUMMYFUNCTION("IMPORTRANGE(""https://docs.google.com/spreadsheets/d/11923uPwbBZFjjGgGUA6NLw09EwE0CqkOc4q9oUmW1yo/edit?usp=sharing"",""พิษณุโลก!I378"")"),0)</f>
        <v>0</v>
      </c>
      <c r="J483" s="188">
        <f ca="1">IFERROR(__xludf.DUMMYFUNCTION("IMPORTRANGE(""https://docs.google.com/spreadsheets/d/11923uPwbBZFjjGgGUA6NLw09EwE0CqkOc4q9oUmW1yo/edit?usp=sharing"",""พิษณุโลก!J378"")"),0)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IFERROR(__xludf.DUMMYFUNCTION("IMPORTRANGE(""https://docs.google.com/spreadsheets/d/11923uPwbBZFjjGgGUA6NLw09EwE0CqkOc4q9oUmW1yo/edit?usp=sharing"",""พิษณุโลก!I379"")"),0)</f>
        <v>0</v>
      </c>
      <c r="J484" s="188">
        <f ca="1">IFERROR(__xludf.DUMMYFUNCTION("IMPORTRANGE(""https://docs.google.com/spreadsheets/d/11923uPwbBZFjjGgGUA6NLw09EwE0CqkOc4q9oUmW1yo/edit?usp=sharing"",""พิษณุโลก!J379"")"),0)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IFERROR(__xludf.DUMMYFUNCTION("IMPORTRANGE(""https://docs.google.com/spreadsheets/d/11923uPwbBZFjjGgGUA6NLw09EwE0CqkOc4q9oUmW1yo/edit?usp=sharing"",""พิษณุโลก!I380"")"),0)</f>
        <v>0</v>
      </c>
      <c r="J485" s="188">
        <f ca="1">IFERROR(__xludf.DUMMYFUNCTION("IMPORTRANGE(""https://docs.google.com/spreadsheets/d/11923uPwbBZFjjGgGUA6NLw09EwE0CqkOc4q9oUmW1yo/edit?usp=sharing"",""พิษณุโลก!J380"")"),0)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IFERROR(__xludf.DUMMYFUNCTION("IMPORTRANGE(""https://docs.google.com/spreadsheets/d/11923uPwbBZFjjGgGUA6NLw09EwE0CqkOc4q9oUmW1yo/edit?usp=sharing"",""พิษณุโลก!I381"")"),0)</f>
        <v>0</v>
      </c>
      <c r="J486" s="188">
        <f ca="1">IFERROR(__xludf.DUMMYFUNCTION("IMPORTRANGE(""https://docs.google.com/spreadsheets/d/11923uPwbBZFjjGgGUA6NLw09EwE0CqkOc4q9oUmW1yo/edit?usp=sharing"",""พิษณุโลก!J381"")"),0)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IFERROR(__xludf.DUMMYFUNCTION("IMPORTRANGE(""https://docs.google.com/spreadsheets/d/11923uPwbBZFjjGgGUA6NLw09EwE0CqkOc4q9oUmW1yo/edit?usp=sharing"",""พิษณุโลก!I382"")"),0)</f>
        <v>0</v>
      </c>
      <c r="J487" s="418">
        <f ca="1">IFERROR(__xludf.DUMMYFUNCTION("IMPORTRANGE(""https://docs.google.com/spreadsheets/d/11923uPwbBZFjjGgGUA6NLw09EwE0CqkOc4q9oUmW1yo/edit?usp=sharing"",""พิษณุโลก!J382"")"),0)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IFERROR(__xludf.DUMMYFUNCTION("IMPORTRANGE(""https://docs.google.com/spreadsheets/d/11923uPwbBZFjjGgGUA6NLw09EwE0CqkOc4q9oUmW1yo/edit?usp=sharing"",""พิษณุโลก!I383"")"),0)</f>
        <v>0</v>
      </c>
      <c r="J488" s="418">
        <f ca="1">IFERROR(__xludf.DUMMYFUNCTION("IMPORTRANGE(""https://docs.google.com/spreadsheets/d/11923uPwbBZFjjGgGUA6NLw09EwE0CqkOc4q9oUmW1yo/edit?usp=sharing"",""พิษณุโลก!J383"")"),0)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IFERROR(__xludf.DUMMYFUNCTION("IMPORTRANGE(""https://docs.google.com/spreadsheets/d/11923uPwbBZFjjGgGUA6NLw09EwE0CqkOc4q9oUmW1yo/edit?usp=sharing"",""พิษณุโลก!I384"")"),0)</f>
        <v>0</v>
      </c>
      <c r="J489" s="188">
        <f ca="1">IFERROR(__xludf.DUMMYFUNCTION("IMPORTRANGE(""https://docs.google.com/spreadsheets/d/11923uPwbBZFjjGgGUA6NLw09EwE0CqkOc4q9oUmW1yo/edit?usp=sharing"",""พิษณุโลก!J384"")"),0)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IFERROR(__xludf.DUMMYFUNCTION("IMPORTRANGE(""https://docs.google.com/spreadsheets/d/11923uPwbBZFjjGgGUA6NLw09EwE0CqkOc4q9oUmW1yo/edit?usp=sharing"",""พิษณุโลก!I385"")"),0)</f>
        <v>0</v>
      </c>
      <c r="J490" s="188">
        <f ca="1">IFERROR(__xludf.DUMMYFUNCTION("IMPORTRANGE(""https://docs.google.com/spreadsheets/d/11923uPwbBZFjjGgGUA6NLw09EwE0CqkOc4q9oUmW1yo/edit?usp=sharing"",""พิษณุโลก!J385"")"),0)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IFERROR(__xludf.DUMMYFUNCTION("IMPORTRANGE(""https://docs.google.com/spreadsheets/d/11923uPwbBZFjjGgGUA6NLw09EwE0CqkOc4q9oUmW1yo/edit?usp=sharing"",""พิษณุโลก!I386"")"),0)</f>
        <v>0</v>
      </c>
      <c r="J491" s="188">
        <f ca="1">IFERROR(__xludf.DUMMYFUNCTION("IMPORTRANGE(""https://docs.google.com/spreadsheets/d/11923uPwbBZFjjGgGUA6NLw09EwE0CqkOc4q9oUmW1yo/edit?usp=sharing"",""พิษณุโลก!J386"")"),0)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IFERROR(__xludf.DUMMYFUNCTION("IMPORTRANGE(""https://docs.google.com/spreadsheets/d/11923uPwbBZFjjGgGUA6NLw09EwE0CqkOc4q9oUmW1yo/edit?usp=sharing"",""พิษณุโลก!I387"")"),0)</f>
        <v>0</v>
      </c>
      <c r="J492" s="188">
        <f ca="1">IFERROR(__xludf.DUMMYFUNCTION("IMPORTRANGE(""https://docs.google.com/spreadsheets/d/11923uPwbBZFjjGgGUA6NLw09EwE0CqkOc4q9oUmW1yo/edit?usp=sharing"",""พิษณุโลก!J387"")"),0)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IFERROR(__xludf.DUMMYFUNCTION("IMPORTRANGE(""https://docs.google.com/spreadsheets/d/11923uPwbBZFjjGgGUA6NLw09EwE0CqkOc4q9oUmW1yo/edit?usp=sharing"",""พิษณุโลก!I388"")"),0)</f>
        <v>0</v>
      </c>
      <c r="J493" s="188">
        <f ca="1">IFERROR(__xludf.DUMMYFUNCTION("IMPORTRANGE(""https://docs.google.com/spreadsheets/d/11923uPwbBZFjjGgGUA6NLw09EwE0CqkOc4q9oUmW1yo/edit?usp=sharing"",""พิษณุโลก!J388"")"),0)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IFERROR(__xludf.DUMMYFUNCTION("IMPORTRANGE(""https://docs.google.com/spreadsheets/d/11923uPwbBZFjjGgGUA6NLw09EwE0CqkOc4q9oUmW1yo/edit?usp=sharing"",""พิษณุโลก!I389"")"),0)</f>
        <v>0</v>
      </c>
      <c r="J494" s="434">
        <f ca="1">IFERROR(__xludf.DUMMYFUNCTION("IMPORTRANGE(""https://docs.google.com/spreadsheets/d/11923uPwbBZFjjGgGUA6NLw09EwE0CqkOc4q9oUmW1yo/edit?usp=sharing"",""พิษณุโลก!J389"")"),0)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IFERROR(__xludf.DUMMYFUNCTION("IMPORTRANGE(""https://docs.google.com/spreadsheets/d/11923uPwbBZFjjGgGUA6NLw09EwE0CqkOc4q9oUmW1yo/edit?usp=sharing"",""พิษณุโลก!I390"")"),0)</f>
        <v>0</v>
      </c>
      <c r="J495" s="434">
        <f ca="1">IFERROR(__xludf.DUMMYFUNCTION("IMPORTRANGE(""https://docs.google.com/spreadsheets/d/11923uPwbBZFjjGgGUA6NLw09EwE0CqkOc4q9oUmW1yo/edit?usp=sharing"",""พิษณุโลก!J390"")"),0)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IFERROR(__xludf.DUMMYFUNCTION("IMPORTRANGE(""https://docs.google.com/spreadsheets/d/11923uPwbBZFjjGgGUA6NLw09EwE0CqkOc4q9oUmW1yo/edit?usp=sharing"",""พิษณุโลก!I391"")"),0)</f>
        <v>0</v>
      </c>
      <c r="J496" s="434">
        <f ca="1">IFERROR(__xludf.DUMMYFUNCTION("IMPORTRANGE(""https://docs.google.com/spreadsheets/d/11923uPwbBZFjjGgGUA6NLw09EwE0CqkOc4q9oUmW1yo/edit?usp=sharing"",""พิษณุโลก!J391"")"),0)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IFERROR(__xludf.DUMMYFUNCTION("IMPORTRANGE(""https://docs.google.com/spreadsheets/d/11923uPwbBZFjjGgGUA6NLw09EwE0CqkOc4q9oUmW1yo/edit?usp=sharing"",""พิษณุโลก!I392"")"),1774)</f>
        <v>1774</v>
      </c>
      <c r="J497" s="441">
        <f ca="1">IFERROR(__xludf.DUMMYFUNCTION("IMPORTRANGE(""https://docs.google.com/spreadsheets/d/11923uPwbBZFjjGgGUA6NLw09EwE0CqkOc4q9oUmW1yo/edit?usp=sharing"",""พิษณุโลก!J392"")"),998)</f>
        <v>998</v>
      </c>
      <c r="K497" s="442">
        <f t="shared" ca="1" si="117"/>
        <v>56.25704622322435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IFERROR(__xludf.DUMMYFUNCTION("IMPORTRANGE(""https://docs.google.com/spreadsheets/d/11923uPwbBZFjjGgGUA6NLw09EwE0CqkOc4q9oUmW1yo/edit?usp=sharing"",""พิษณุโลก!I393"")"),1774)</f>
        <v>1774</v>
      </c>
      <c r="J498" s="418">
        <f ca="1">IFERROR(__xludf.DUMMYFUNCTION("IMPORTRANGE(""https://docs.google.com/spreadsheets/d/11923uPwbBZFjjGgGUA6NLw09EwE0CqkOc4q9oUmW1yo/edit?usp=sharing"",""พิษณุโลก!J393"")"),998)</f>
        <v>998</v>
      </c>
      <c r="K498" s="163">
        <f t="shared" ca="1" si="117"/>
        <v>56.25704622322435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IFERROR(__xludf.DUMMYFUNCTION("IMPORTRANGE(""https://docs.google.com/spreadsheets/d/11923uPwbBZFjjGgGUA6NLw09EwE0CqkOc4q9oUmW1yo/edit?usp=sharing"",""พิษณุโลก!I394"")"),106)</f>
        <v>106</v>
      </c>
      <c r="J499" s="418">
        <f ca="1">IFERROR(__xludf.DUMMYFUNCTION("IMPORTRANGE(""https://docs.google.com/spreadsheets/d/11923uPwbBZFjjGgGUA6NLw09EwE0CqkOc4q9oUmW1yo/edit?usp=sharing"",""พิษณุโลก!J394"")"),60)</f>
        <v>60</v>
      </c>
      <c r="K499" s="201">
        <f t="shared" ca="1" si="117"/>
        <v>56.60377358490566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IFERROR(__xludf.DUMMYFUNCTION("IMPORTRANGE(""https://docs.google.com/spreadsheets/d/11923uPwbBZFjjGgGUA6NLw09EwE0CqkOc4q9oUmW1yo/edit?usp=sharing"",""พิษณุโลก!I395"")"),0)</f>
        <v>0</v>
      </c>
      <c r="J500" s="162">
        <f ca="1">IFERROR(__xludf.DUMMYFUNCTION("IMPORTRANGE(""https://docs.google.com/spreadsheets/d/11923uPwbBZFjjGgGUA6NLw09EwE0CqkOc4q9oUmW1yo/edit?usp=sharing"",""พิษณุโลก!J395"")"),975)</f>
        <v>975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IFERROR(__xludf.DUMMYFUNCTION("IMPORTRANGE(""https://docs.google.com/spreadsheets/d/11923uPwbBZFjjGgGUA6NLw09EwE0CqkOc4q9oUmW1yo/edit?usp=sharing"",""พิษณุโลก!I396"")"),0)</f>
        <v>0</v>
      </c>
      <c r="J501" s="162">
        <f ca="1">IFERROR(__xludf.DUMMYFUNCTION("IMPORTRANGE(""https://docs.google.com/spreadsheets/d/11923uPwbBZFjjGgGUA6NLw09EwE0CqkOc4q9oUmW1yo/edit?usp=sharing"",""พิษณุโลก!J396"")"),59)</f>
        <v>59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IFERROR(__xludf.DUMMYFUNCTION("IMPORTRANGE(""https://docs.google.com/spreadsheets/d/11923uPwbBZFjjGgGUA6NLw09EwE0CqkOc4q9oUmW1yo/edit?usp=sharing"",""พิษณุโลก!I397"")"),0)</f>
        <v>0</v>
      </c>
      <c r="J502" s="188">
        <f ca="1">IFERROR(__xludf.DUMMYFUNCTION("IMPORTRANGE(""https://docs.google.com/spreadsheets/d/11923uPwbBZFjjGgGUA6NLw09EwE0CqkOc4q9oUmW1yo/edit?usp=sharing"",""พิษณุโลก!J397"")"),550)</f>
        <v>550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IFERROR(__xludf.DUMMYFUNCTION("IMPORTRANGE(""https://docs.google.com/spreadsheets/d/11923uPwbBZFjjGgGUA6NLw09EwE0CqkOc4q9oUmW1yo/edit?usp=sharing"",""พิษณุโลก!I398"")"),0)</f>
        <v>0</v>
      </c>
      <c r="J503" s="197">
        <f ca="1">IFERROR(__xludf.DUMMYFUNCTION("IMPORTRANGE(""https://docs.google.com/spreadsheets/d/11923uPwbBZFjjGgGUA6NLw09EwE0CqkOc4q9oUmW1yo/edit?usp=sharing"",""พิษณุโลก!J398"")"),31)</f>
        <v>31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IFERROR(__xludf.DUMMYFUNCTION("IMPORTRANGE(""https://docs.google.com/spreadsheets/d/11923uPwbBZFjjGgGUA6NLw09EwE0CqkOc4q9oUmW1yo/edit?usp=sharing"",""พิษณุโลก!I399"")"),0)</f>
        <v>0</v>
      </c>
      <c r="J504" s="188">
        <f ca="1">IFERROR(__xludf.DUMMYFUNCTION("IMPORTRANGE(""https://docs.google.com/spreadsheets/d/11923uPwbBZFjjGgGUA6NLw09EwE0CqkOc4q9oUmW1yo/edit?usp=sharing"",""พิษณุโลก!J399"")"),425)</f>
        <v>425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IFERROR(__xludf.DUMMYFUNCTION("IMPORTRANGE(""https://docs.google.com/spreadsheets/d/11923uPwbBZFjjGgGUA6NLw09EwE0CqkOc4q9oUmW1yo/edit?usp=sharing"",""พิษณุโลก!I400"")"),0)</f>
        <v>0</v>
      </c>
      <c r="J505" s="197">
        <f ca="1">IFERROR(__xludf.DUMMYFUNCTION("IMPORTRANGE(""https://docs.google.com/spreadsheets/d/11923uPwbBZFjjGgGUA6NLw09EwE0CqkOc4q9oUmW1yo/edit?usp=sharing"",""พิษณุโลก!J400"")"),28)</f>
        <v>28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IFERROR(__xludf.DUMMYFUNCTION("IMPORTRANGE(""https://docs.google.com/spreadsheets/d/11923uPwbBZFjjGgGUA6NLw09EwE0CqkOc4q9oUmW1yo/edit?usp=sharing"",""พิษณุโลก!I401"")"),0)</f>
        <v>0</v>
      </c>
      <c r="J506" s="188">
        <f ca="1">IFERROR(__xludf.DUMMYFUNCTION("IMPORTRANGE(""https://docs.google.com/spreadsheets/d/11923uPwbBZFjjGgGUA6NLw09EwE0CqkOc4q9oUmW1yo/edit?usp=sharing"",""พิษณุโลก!J401"")"),0)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IFERROR(__xludf.DUMMYFUNCTION("IMPORTRANGE(""https://docs.google.com/spreadsheets/d/11923uPwbBZFjjGgGUA6NLw09EwE0CqkOc4q9oUmW1yo/edit?usp=sharing"",""พิษณุโลก!I402"")"),0)</f>
        <v>0</v>
      </c>
      <c r="J507" s="197">
        <f ca="1">IFERROR(__xludf.DUMMYFUNCTION("IMPORTRANGE(""https://docs.google.com/spreadsheets/d/11923uPwbBZFjjGgGUA6NLw09EwE0CqkOc4q9oUmW1yo/edit?usp=sharing"",""พิษณุโลก!J402"")"),0)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IFERROR(__xludf.DUMMYFUNCTION("IMPORTRANGE(""https://docs.google.com/spreadsheets/d/11923uPwbBZFjjGgGUA6NLw09EwE0CqkOc4q9oUmW1yo/edit?usp=sharing"",""พิษณุโลก!I403"")"),0)</f>
        <v>0</v>
      </c>
      <c r="J508" s="162">
        <f ca="1">IFERROR(__xludf.DUMMYFUNCTION("IMPORTRANGE(""https://docs.google.com/spreadsheets/d/11923uPwbBZFjjGgGUA6NLw09EwE0CqkOc4q9oUmW1yo/edit?usp=sharing"",""พิษณุโลก!J403"")"),23)</f>
        <v>23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IFERROR(__xludf.DUMMYFUNCTION("IMPORTRANGE(""https://docs.google.com/spreadsheets/d/11923uPwbBZFjjGgGUA6NLw09EwE0CqkOc4q9oUmW1yo/edit?usp=sharing"",""พิษณุโลก!I404"")"),0)</f>
        <v>0</v>
      </c>
      <c r="J509" s="162">
        <f ca="1">IFERROR(__xludf.DUMMYFUNCTION("IMPORTRANGE(""https://docs.google.com/spreadsheets/d/11923uPwbBZFjjGgGUA6NLw09EwE0CqkOc4q9oUmW1yo/edit?usp=sharing"",""พิษณุโลก!J404"")"),1)</f>
        <v>1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IFERROR(__xludf.DUMMYFUNCTION("IMPORTRANGE(""https://docs.google.com/spreadsheets/d/11923uPwbBZFjjGgGUA6NLw09EwE0CqkOc4q9oUmW1yo/edit?usp=sharing"",""พิษณุโลก!I405"")"),0)</f>
        <v>0</v>
      </c>
      <c r="J510" s="197">
        <f ca="1">IFERROR(__xludf.DUMMYFUNCTION("IMPORTRANGE(""https://docs.google.com/spreadsheets/d/11923uPwbBZFjjGgGUA6NLw09EwE0CqkOc4q9oUmW1yo/edit?usp=sharing"",""พิษณุโลก!J405"")"),23)</f>
        <v>23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IFERROR(__xludf.DUMMYFUNCTION("IMPORTRANGE(""https://docs.google.com/spreadsheets/d/11923uPwbBZFjjGgGUA6NLw09EwE0CqkOc4q9oUmW1yo/edit?usp=sharing"",""พิษณุโลก!I406"")"),0)</f>
        <v>0</v>
      </c>
      <c r="J511" s="197">
        <f ca="1">IFERROR(__xludf.DUMMYFUNCTION("IMPORTRANGE(""https://docs.google.com/spreadsheets/d/11923uPwbBZFjjGgGUA6NLw09EwE0CqkOc4q9oUmW1yo/edit?usp=sharing"",""พิษณุโลก!J406"")"),1)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IFERROR(__xludf.DUMMYFUNCTION("IMPORTRANGE(""https://docs.google.com/spreadsheets/d/11923uPwbBZFjjGgGUA6NLw09EwE0CqkOc4q9oUmW1yo/edit?usp=sharing"",""พิษณุโลก!I407"")"),0)</f>
        <v>0</v>
      </c>
      <c r="J512" s="197">
        <f ca="1">IFERROR(__xludf.DUMMYFUNCTION("IMPORTRANGE(""https://docs.google.com/spreadsheets/d/11923uPwbBZFjjGgGUA6NLw09EwE0CqkOc4q9oUmW1yo/edit?usp=sharing"",""พิษณุโลก!J407"")"),0)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IFERROR(__xludf.DUMMYFUNCTION("IMPORTRANGE(""https://docs.google.com/spreadsheets/d/11923uPwbBZFjjGgGUA6NLw09EwE0CqkOc4q9oUmW1yo/edit?usp=sharing"",""พิษณุโลก!I408"")"),0)</f>
        <v>0</v>
      </c>
      <c r="J513" s="197">
        <f ca="1">IFERROR(__xludf.DUMMYFUNCTION("IMPORTRANGE(""https://docs.google.com/spreadsheets/d/11923uPwbBZFjjGgGUA6NLw09EwE0CqkOc4q9oUmW1yo/edit?usp=sharing"",""พิษณุโลก!J408"")"),0)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IFERROR(__xludf.DUMMYFUNCTION("IMPORTRANGE(""https://docs.google.com/spreadsheets/d/11923uPwbBZFjjGgGUA6NLw09EwE0CqkOc4q9oUmW1yo/edit?usp=sharing"",""พิษณุโลก!I409"")"),0)</f>
        <v>0</v>
      </c>
      <c r="J514" s="197">
        <f ca="1">IFERROR(__xludf.DUMMYFUNCTION("IMPORTRANGE(""https://docs.google.com/spreadsheets/d/11923uPwbBZFjjGgGUA6NLw09EwE0CqkOc4q9oUmW1yo/edit?usp=sharing"",""พิษณุโลก!J409"")"),0)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IFERROR(__xludf.DUMMYFUNCTION("IMPORTRANGE(""https://docs.google.com/spreadsheets/d/11923uPwbBZFjjGgGUA6NLw09EwE0CqkOc4q9oUmW1yo/edit?usp=sharing"",""พิษณุโลก!I410"")"),0)</f>
        <v>0</v>
      </c>
      <c r="J515" s="197">
        <f ca="1">IFERROR(__xludf.DUMMYFUNCTION("IMPORTRANGE(""https://docs.google.com/spreadsheets/d/11923uPwbBZFjjGgGUA6NLw09EwE0CqkOc4q9oUmW1yo/edit?usp=sharing"",""พิษณุโลก!J410"")"),0)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IFERROR(__xludf.DUMMYFUNCTION("IMPORTRANGE(""https://docs.google.com/spreadsheets/d/11923uPwbBZFjjGgGUA6NLw09EwE0CqkOc4q9oUmW1yo/edit?usp=sharing"",""พิษณุโลก!I411"")"),0)</f>
        <v>0</v>
      </c>
      <c r="J516" s="266">
        <f ca="1">IFERROR(__xludf.DUMMYFUNCTION("IMPORTRANGE(""https://docs.google.com/spreadsheets/d/11923uPwbBZFjjGgGUA6NLw09EwE0CqkOc4q9oUmW1yo/edit?usp=sharing"",""พิษณุโลก!J411"")"),0)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IFERROR(__xludf.DUMMYFUNCTION("IMPORTRANGE(""https://docs.google.com/spreadsheets/d/11923uPwbBZFjjGgGUA6NLw09EwE0CqkOc4q9oUmW1yo/edit?usp=sharing"",""พิษณุโลก!I412"")"),0)</f>
        <v>0</v>
      </c>
      <c r="J517" s="282">
        <f ca="1">IFERROR(__xludf.DUMMYFUNCTION("IMPORTRANGE(""https://docs.google.com/spreadsheets/d/11923uPwbBZFjjGgGUA6NLw09EwE0CqkOc4q9oUmW1yo/edit?usp=sharing"",""พิษณุโลก!J412"")"),0)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IFERROR(__xludf.DUMMYFUNCTION("IMPORTRANGE(""https://docs.google.com/spreadsheets/d/11923uPwbBZFjjGgGUA6NLw09EwE0CqkOc4q9oUmW1yo/edit?usp=sharing"",""พิษณุโลก!I413"")"),0)</f>
        <v>0</v>
      </c>
      <c r="J518" s="282">
        <f ca="1">IFERROR(__xludf.DUMMYFUNCTION("IMPORTRANGE(""https://docs.google.com/spreadsheets/d/11923uPwbBZFjjGgGUA6NLw09EwE0CqkOc4q9oUmW1yo/edit?usp=sharing"",""พิษณุโลก!J413"")"),0)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IFERROR(__xludf.DUMMYFUNCTION("IMPORTRANGE(""https://docs.google.com/spreadsheets/d/11923uPwbBZFjjGgGUA6NLw09EwE0CqkOc4q9oUmW1yo/edit?usp=sharing"",""พิษณุโลก!I414"")"),0)</f>
        <v>0</v>
      </c>
      <c r="J519" s="187">
        <f ca="1">IFERROR(__xludf.DUMMYFUNCTION("IMPORTRANGE(""https://docs.google.com/spreadsheets/d/11923uPwbBZFjjGgGUA6NLw09EwE0CqkOc4q9oUmW1yo/edit?usp=sharing"",""พิษณุโลก!J414"")"),0)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IFERROR(__xludf.DUMMYFUNCTION("IMPORTRANGE(""https://docs.google.com/spreadsheets/d/11923uPwbBZFjjGgGUA6NLw09EwE0CqkOc4q9oUmW1yo/edit?usp=sharing"",""พิษณุโลก!I415"")"),0)</f>
        <v>0</v>
      </c>
      <c r="J520" s="187">
        <f ca="1">IFERROR(__xludf.DUMMYFUNCTION("IMPORTRANGE(""https://docs.google.com/spreadsheets/d/11923uPwbBZFjjGgGUA6NLw09EwE0CqkOc4q9oUmW1yo/edit?usp=sharing"",""พิษณุโลก!J415"")"),0)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IFERROR(__xludf.DUMMYFUNCTION("IMPORTRANGE(""https://docs.google.com/spreadsheets/d/11923uPwbBZFjjGgGUA6NLw09EwE0CqkOc4q9oUmW1yo/edit?usp=sharing"",""พิษณุโลก!I416"")"),0)</f>
        <v>0</v>
      </c>
      <c r="J521" s="187">
        <f ca="1">IFERROR(__xludf.DUMMYFUNCTION("IMPORTRANGE(""https://docs.google.com/spreadsheets/d/11923uPwbBZFjjGgGUA6NLw09EwE0CqkOc4q9oUmW1yo/edit?usp=sharing"",""พิษณุโลก!J416"")"),0)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IFERROR(__xludf.DUMMYFUNCTION("IMPORTRANGE(""https://docs.google.com/spreadsheets/d/11923uPwbBZFjjGgGUA6NLw09EwE0CqkOc4q9oUmW1yo/edit?usp=sharing"",""พิษณุโลก!I417"")"),0)</f>
        <v>0</v>
      </c>
      <c r="J522" s="187">
        <f ca="1">IFERROR(__xludf.DUMMYFUNCTION("IMPORTRANGE(""https://docs.google.com/spreadsheets/d/11923uPwbBZFjjGgGUA6NLw09EwE0CqkOc4q9oUmW1yo/edit?usp=sharing"",""พิษณุโลก!J417"")"),0)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IFERROR(__xludf.DUMMYFUNCTION("IMPORTRANGE(""https://docs.google.com/spreadsheets/d/11923uPwbBZFjjGgGUA6NLw09EwE0CqkOc4q9oUmW1yo/edit?usp=sharing"",""พิษณุโลก!I418"")"),0)</f>
        <v>0</v>
      </c>
      <c r="J523" s="187">
        <f ca="1">IFERROR(__xludf.DUMMYFUNCTION("IMPORTRANGE(""https://docs.google.com/spreadsheets/d/11923uPwbBZFjjGgGUA6NLw09EwE0CqkOc4q9oUmW1yo/edit?usp=sharing"",""พิษณุโลก!J418"")"),22)</f>
        <v>22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IFERROR(__xludf.DUMMYFUNCTION("IMPORTRANGE(""https://docs.google.com/spreadsheets/d/11923uPwbBZFjjGgGUA6NLw09EwE0CqkOc4q9oUmW1yo/edit?usp=sharing"",""พิษณุโลก!I419"")"),0)</f>
        <v>0</v>
      </c>
      <c r="J524" s="187">
        <f ca="1">IFERROR(__xludf.DUMMYFUNCTION("IMPORTRANGE(""https://docs.google.com/spreadsheets/d/11923uPwbBZFjjGgGUA6NLw09EwE0CqkOc4q9oUmW1yo/edit?usp=sharing"",""พิษณุโลก!J419"")"),2)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IFERROR(__xludf.DUMMYFUNCTION("IMPORTRANGE(""https://docs.google.com/spreadsheets/d/11923uPwbBZFjjGgGUA6NLw09EwE0CqkOc4q9oUmW1yo/edit?usp=sharing"",""พิษณุโลก!I420"")"),22)</f>
        <v>22</v>
      </c>
      <c r="J525" s="282">
        <f ca="1">IFERROR(__xludf.DUMMYFUNCTION("IMPORTRANGE(""https://docs.google.com/spreadsheets/d/11923uPwbBZFjjGgGUA6NLw09EwE0CqkOc4q9oUmW1yo/edit?usp=sharing"",""พิษณุโลก!J420"")"),0)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IFERROR(__xludf.DUMMYFUNCTION("IMPORTRANGE(""https://docs.google.com/spreadsheets/d/11923uPwbBZFjjGgGUA6NLw09EwE0CqkOc4q9oUmW1yo/edit?usp=sharing"",""พิษณุโลก!I421"")"),2)</f>
        <v>2</v>
      </c>
      <c r="J526" s="282">
        <f ca="1">IFERROR(__xludf.DUMMYFUNCTION("IMPORTRANGE(""https://docs.google.com/spreadsheets/d/11923uPwbBZFjjGgGUA6NLw09EwE0CqkOc4q9oUmW1yo/edit?usp=sharing"",""พิษณุโลก!J421"")"),0)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IFERROR(__xludf.DUMMYFUNCTION("IMPORTRANGE(""https://docs.google.com/spreadsheets/d/11923uPwbBZFjjGgGUA6NLw09EwE0CqkOc4q9oUmW1yo/edit?usp=sharing"",""พิษณุโลก!I422"")"),0)</f>
        <v>0</v>
      </c>
      <c r="J527" s="197">
        <f ca="1">IFERROR(__xludf.DUMMYFUNCTION("IMPORTRANGE(""https://docs.google.com/spreadsheets/d/11923uPwbBZFjjGgGUA6NLw09EwE0CqkOc4q9oUmW1yo/edit?usp=sharing"",""พิษณุโลก!J422"")"),0)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IFERROR(__xludf.DUMMYFUNCTION("IMPORTRANGE(""https://docs.google.com/spreadsheets/d/11923uPwbBZFjjGgGUA6NLw09EwE0CqkOc4q9oUmW1yo/edit?usp=sharing"",""พิษณุโลก!I423"")"),0)</f>
        <v>0</v>
      </c>
      <c r="J528" s="197">
        <f ca="1">IFERROR(__xludf.DUMMYFUNCTION("IMPORTRANGE(""https://docs.google.com/spreadsheets/d/11923uPwbBZFjjGgGUA6NLw09EwE0CqkOc4q9oUmW1yo/edit?usp=sharing"",""พิษณุโลก!J423"")"),0)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IFERROR(__xludf.DUMMYFUNCTION("IMPORTRANGE(""https://docs.google.com/spreadsheets/d/11923uPwbBZFjjGgGUA6NLw09EwE0CqkOc4q9oUmW1yo/edit?usp=sharing"",""พิษณุโลก!I424"")"),0)</f>
        <v>0</v>
      </c>
      <c r="J529" s="197">
        <f ca="1">IFERROR(__xludf.DUMMYFUNCTION("IMPORTRANGE(""https://docs.google.com/spreadsheets/d/11923uPwbBZFjjGgGUA6NLw09EwE0CqkOc4q9oUmW1yo/edit?usp=sharing"",""พิษณุโลก!J424"")"),0)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IFERROR(__xludf.DUMMYFUNCTION("IMPORTRANGE(""https://docs.google.com/spreadsheets/d/11923uPwbBZFjjGgGUA6NLw09EwE0CqkOc4q9oUmW1yo/edit?usp=sharing"",""พิษณุโลก!I425"")"),0)</f>
        <v>0</v>
      </c>
      <c r="J530" s="197">
        <f ca="1">IFERROR(__xludf.DUMMYFUNCTION("IMPORTRANGE(""https://docs.google.com/spreadsheets/d/11923uPwbBZFjjGgGUA6NLw09EwE0CqkOc4q9oUmW1yo/edit?usp=sharing"",""พิษณุโลก!J425"")"),0)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IFERROR(__xludf.DUMMYFUNCTION("IMPORTRANGE(""https://docs.google.com/spreadsheets/d/11923uPwbBZFjjGgGUA6NLw09EwE0CqkOc4q9oUmW1yo/edit?usp=sharing"",""พิษณุโลก!I426"")"),0)</f>
        <v>0</v>
      </c>
      <c r="J531" s="197">
        <f ca="1">IFERROR(__xludf.DUMMYFUNCTION("IMPORTRANGE(""https://docs.google.com/spreadsheets/d/11923uPwbBZFjjGgGUA6NLw09EwE0CqkOc4q9oUmW1yo/edit?usp=sharing"",""พิษณุโลก!J426"")"),0)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IFERROR(__xludf.DUMMYFUNCTION("IMPORTRANGE(""https://docs.google.com/spreadsheets/d/11923uPwbBZFjjGgGUA6NLw09EwE0CqkOc4q9oUmW1yo/edit?usp=sharing"",""พิษณุโลก!I427"")"),0)</f>
        <v>0</v>
      </c>
      <c r="J532" s="464">
        <f ca="1">IFERROR(__xludf.DUMMYFUNCTION("IMPORTRANGE(""https://docs.google.com/spreadsheets/d/11923uPwbBZFjjGgGUA6NLw09EwE0CqkOc4q9oUmW1yo/edit?usp=sharing"",""พิษณุโลก!J427"")"),0)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IFERROR(__xludf.DUMMYFUNCTION("IMPORTRANGE(""https://docs.google.com/spreadsheets/d/11923uPwbBZFjjGgGUA6NLw09EwE0CqkOc4q9oUmW1yo/edit?usp=sharing"",""พิษณุโลก!I428"")"),22)</f>
        <v>22</v>
      </c>
      <c r="J533" s="408">
        <f ca="1">IFERROR(__xludf.DUMMYFUNCTION("IMPORTRANGE(""https://docs.google.com/spreadsheets/d/11923uPwbBZFjjGgGUA6NLw09EwE0CqkOc4q9oUmW1yo/edit?usp=sharing"",""พิษณุโลก!J428"")"),22)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IFERROR(__xludf.DUMMYFUNCTION("IMPORTRANGE(""https://docs.google.com/spreadsheets/d/11923uPwbBZFjjGgGUA6NLw09EwE0CqkOc4q9oUmW1yo/edit?usp=sharing"",""พิษณุโลก!L428"")"),34340)</f>
        <v>34340</v>
      </c>
      <c r="M533" s="410"/>
      <c r="N533" s="410">
        <f ca="1">IFERROR(__xludf.DUMMYFUNCTION("IMPORTRANGE(""https://docs.google.com/spreadsheets/d/11923uPwbBZFjjGgGUA6NLw09EwE0CqkOc4q9oUmW1yo/edit?usp=sharing"",""พิษณุโลก!M428"")"),21160)</f>
        <v>21160</v>
      </c>
      <c r="O533" s="410">
        <f t="shared" ref="O533:O537" ca="1" si="118">+IF(L533&gt;0,N533*100/L533,0)</f>
        <v>61.619103086779269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IFERROR(__xludf.DUMMYFUNCTION("IMPORTRANGE(""https://docs.google.com/spreadsheets/d/11923uPwbBZFjjGgGUA6NLw09EwE0CqkOc4q9oUmW1yo/edit?usp=sharing"",""พิษณุโลก!L429"")"),0)</f>
        <v>0</v>
      </c>
      <c r="M534" s="164"/>
      <c r="N534" s="168">
        <f ca="1">IFERROR(__xludf.DUMMYFUNCTION("IMPORTRANGE(""https://docs.google.com/spreadsheets/d/11923uPwbBZFjjGgGUA6NLw09EwE0CqkOc4q9oUmW1yo/edit?usp=sharing"",""พิษณุโลก!M429"")"),0)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IFERROR(__xludf.DUMMYFUNCTION("IMPORTRANGE(""https://docs.google.com/spreadsheets/d/11923uPwbBZFjjGgGUA6NLw09EwE0CqkOc4q9oUmW1yo/edit?usp=sharing"",""พิษณุโลก!L430"")"),34340)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IFERROR(__xludf.DUMMYFUNCTION("IMPORTRANGE(""https://docs.google.com/spreadsheets/d/11923uPwbBZFjjGgGUA6NLw09EwE0CqkOc4q9oUmW1yo/edit?usp=sharing"",""พิษณุโลก!M430"")"),21160)</f>
        <v>21160</v>
      </c>
      <c r="O535" s="168">
        <f t="shared" ca="1" si="118"/>
        <v>61.619103086779269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IFERROR(__xludf.DUMMYFUNCTION("IMPORTRANGE(""https://docs.google.com/spreadsheets/d/11923uPwbBZFjjGgGUA6NLw09EwE0CqkOc4q9oUmW1yo/edit?usp=sharing"",""พิษณุโลก!L431"")"),0)</f>
        <v>0</v>
      </c>
      <c r="M536" s="168"/>
      <c r="N536" s="168">
        <f ca="1">IFERROR(__xludf.DUMMYFUNCTION("IMPORTRANGE(""https://docs.google.com/spreadsheets/d/11923uPwbBZFjjGgGUA6NLw09EwE0CqkOc4q9oUmW1yo/edit?usp=sharing"",""พิษณุโลก!M431"")"),0)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IFERROR(__xludf.DUMMYFUNCTION("IMPORTRANGE(""https://docs.google.com/spreadsheets/d/11923uPwbBZFjjGgGUA6NLw09EwE0CqkOc4q9oUmW1yo/edit?usp=sharing"",""พิษณุโลก!L432"")"),34340)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IFERROR(__xludf.DUMMYFUNCTION("IMPORTRANGE(""https://docs.google.com/spreadsheets/d/11923uPwbBZFjjGgGUA6NLw09EwE0CqkOc4q9oUmW1yo/edit?usp=sharing"",""พิษณุโลก!M432"")"),21160)</f>
        <v>21160</v>
      </c>
      <c r="O537" s="168">
        <f t="shared" ca="1" si="118"/>
        <v>61.619103086779269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IFERROR(__xludf.DUMMYFUNCTION("IMPORTRANGE(""https://docs.google.com/spreadsheets/d/11923uPwbBZFjjGgGUA6NLw09EwE0CqkOc4q9oUmW1yo/edit?usp=sharing"",""พิษณุโลก!M433"")"),19880)</f>
        <v>19880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IFERROR(__xludf.DUMMYFUNCTION("IMPORTRANGE(""https://docs.google.com/spreadsheets/d/11923uPwbBZFjjGgGUA6NLw09EwE0CqkOc4q9oUmW1yo/edit?usp=sharing"",""พิษณุโลก!M434"")"),0)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IFERROR(__xludf.DUMMYFUNCTION("IMPORTRANGE(""https://docs.google.com/spreadsheets/d/11923uPwbBZFjjGgGUA6NLw09EwE0CqkOc4q9oUmW1yo/edit?usp=sharing"",""พิษณุโลก!M435"")"),0)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IFERROR(__xludf.DUMMYFUNCTION("IMPORTRANGE(""https://docs.google.com/spreadsheets/d/11923uPwbBZFjjGgGUA6NLw09EwE0CqkOc4q9oUmW1yo/edit?usp=sharing"",""พิษณุโลก!M436"")"),1280)</f>
        <v>1280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IFERROR(__xludf.DUMMYFUNCTION("IMPORTRANGE(""https://docs.google.com/spreadsheets/d/11923uPwbBZFjjGgGUA6NLw09EwE0CqkOc4q9oUmW1yo/edit?usp=sharing"",""พิษณุโลก!J438"")"),0)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IFERROR(__xludf.DUMMYFUNCTION("IMPORTRANGE(""https://docs.google.com/spreadsheets/d/11923uPwbBZFjjGgGUA6NLw09EwE0CqkOc4q9oUmW1yo/edit?usp=sharing"",""พิษณุโลก!J439"")"),1)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IFERROR(__xludf.DUMMYFUNCTION("IMPORTRANGE(""https://docs.google.com/spreadsheets/d/11923uPwbBZFjjGgGUA6NLw09EwE0CqkOc4q9oUmW1yo/edit?usp=sharing"",""พิษณุโลก!J440"")"),1)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IFERROR(__xludf.DUMMYFUNCTION("IMPORTRANGE(""https://docs.google.com/spreadsheets/d/11923uPwbBZFjjGgGUA6NLw09EwE0CqkOc4q9oUmW1yo/edit?usp=sharing"",""พิษณุโลก!J441"")"),1)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IFERROR(__xludf.DUMMYFUNCTION("IMPORTRANGE(""https://docs.google.com/spreadsheets/d/11923uPwbBZFjjGgGUA6NLw09EwE0CqkOc4q9oUmW1yo/edit?usp=sharing"",""พิษณุโลก!I442"")"),22)</f>
        <v>22</v>
      </c>
      <c r="J547" s="188">
        <f ca="1">IFERROR(__xludf.DUMMYFUNCTION("IMPORTRANGE(""https://docs.google.com/spreadsheets/d/11923uPwbBZFjjGgGUA6NLw09EwE0CqkOc4q9oUmW1yo/edit?usp=sharing"",""พิษณุโลก!J442"")"),22)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IFERROR(__xludf.DUMMYFUNCTION("IMPORTRANGE(""https://docs.google.com/spreadsheets/d/11923uPwbBZFjjGgGUA6NLw09EwE0CqkOc4q9oUmW1yo/edit?usp=sharing"",""พิษณุโลก!J166"")"),0)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IFERROR(__xludf.DUMMYFUNCTION("IMPORTRANGE(""https://docs.google.com/spreadsheets/d/11923uPwbBZFjjGgGUA6NLw09EwE0CqkOc4q9oUmW1yo/edit?usp=sharing"",""พิษณุโลก!J444"")"),0)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IFERROR(__xludf.DUMMYFUNCTION("IMPORTRANGE(""https://docs.google.com/spreadsheets/d/11923uPwbBZFjjGgGUA6NLw09EwE0CqkOc4q9oUmW1yo/edit?usp=sharing"",""พิษณุโลก!J445"")"),0)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IFERROR(__xludf.DUMMYFUNCTION("IMPORTRANGE(""https://docs.google.com/spreadsheets/d/11923uPwbBZFjjGgGUA6NLw09EwE0CqkOc4q9oUmW1yo/edit?usp=sharing"",""พิษณุโลก!I446"")"),9000)</f>
        <v>9000</v>
      </c>
      <c r="J551" s="408">
        <f ca="1">IFERROR(__xludf.DUMMYFUNCTION("IMPORTRANGE(""https://docs.google.com/spreadsheets/d/11923uPwbBZFjjGgGUA6NLw09EwE0CqkOc4q9oUmW1yo/edit?usp=sharing"",""พิษณุโลก!J446"")"),2327)</f>
        <v>2327</v>
      </c>
      <c r="K551" s="409">
        <f ca="1">IF(I551&gt;0,J551*100/I551,0)</f>
        <v>25.855555555555554</v>
      </c>
      <c r="L551" s="410">
        <f ca="1">IFERROR(__xludf.DUMMYFUNCTION("IMPORTRANGE(""https://docs.google.com/spreadsheets/d/11923uPwbBZFjjGgGUA6NLw09EwE0CqkOc4q9oUmW1yo/edit?usp=sharing"",""พิษณุโลก!L446"")"),534000)</f>
        <v>534000</v>
      </c>
      <c r="M551" s="410"/>
      <c r="N551" s="410">
        <f ca="1">IFERROR(__xludf.DUMMYFUNCTION("IMPORTRANGE(""https://docs.google.com/spreadsheets/d/11923uPwbBZFjjGgGUA6NLw09EwE0CqkOc4q9oUmW1yo/edit?usp=sharing"",""พิษณุโลก!M446"")"),72557.76)</f>
        <v>72557.759999999995</v>
      </c>
      <c r="O551" s="410">
        <f t="shared" ref="O551:O555" ca="1" si="120">+IF(L551&gt;0,N551*100/L551,0)</f>
        <v>13.587595505617976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IFERROR(__xludf.DUMMYFUNCTION("IMPORTRANGE(""https://docs.google.com/spreadsheets/d/11923uPwbBZFjjGgGUA6NLw09EwE0CqkOc4q9oUmW1yo/edit?usp=sharing"",""พิษณุโลก!L447"")"),0)</f>
        <v>0</v>
      </c>
      <c r="M552" s="164"/>
      <c r="N552" s="168">
        <f ca="1">IFERROR(__xludf.DUMMYFUNCTION("IMPORTRANGE(""https://docs.google.com/spreadsheets/d/11923uPwbBZFjjGgGUA6NLw09EwE0CqkOc4q9oUmW1yo/edit?usp=sharing"",""พิษณุโลก!M447"")"),0)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IFERROR(__xludf.DUMMYFUNCTION("IMPORTRANGE(""https://docs.google.com/spreadsheets/d/11923uPwbBZFjjGgGUA6NLw09EwE0CqkOc4q9oUmW1yo/edit?usp=sharing"",""พิษณุโลก!L448"")"),534000)</f>
        <v>534000</v>
      </c>
      <c r="M553" s="165"/>
      <c r="N553" s="168">
        <f ca="1">IFERROR(__xludf.DUMMYFUNCTION("IMPORTRANGE(""https://docs.google.com/spreadsheets/d/11923uPwbBZFjjGgGUA6NLw09EwE0CqkOc4q9oUmW1yo/edit?usp=sharing"",""พิษณุโลก!M448"")"),72557.76)</f>
        <v>72557.759999999995</v>
      </c>
      <c r="O553" s="168">
        <f t="shared" ca="1" si="120"/>
        <v>13.587595505617976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IFERROR(__xludf.DUMMYFUNCTION("IMPORTRANGE(""https://docs.google.com/spreadsheets/d/11923uPwbBZFjjGgGUA6NLw09EwE0CqkOc4q9oUmW1yo/edit?usp=sharing"",""พิษณุโลก!L449"")"),0)</f>
        <v>0</v>
      </c>
      <c r="M554" s="168"/>
      <c r="N554" s="168">
        <f ca="1">IFERROR(__xludf.DUMMYFUNCTION("IMPORTRANGE(""https://docs.google.com/spreadsheets/d/11923uPwbBZFjjGgGUA6NLw09EwE0CqkOc4q9oUmW1yo/edit?usp=sharing"",""พิษณุโลก!M449"")"),0)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IFERROR(__xludf.DUMMYFUNCTION("IMPORTRANGE(""https://docs.google.com/spreadsheets/d/11923uPwbBZFjjGgGUA6NLw09EwE0CqkOc4q9oUmW1yo/edit?usp=sharing"",""พิษณุโลก!L450"")"),534000)</f>
        <v>534000</v>
      </c>
      <c r="M555" s="168"/>
      <c r="N555" s="168">
        <f ca="1">IFERROR(__xludf.DUMMYFUNCTION("IMPORTRANGE(""https://docs.google.com/spreadsheets/d/11923uPwbBZFjjGgGUA6NLw09EwE0CqkOc4q9oUmW1yo/edit?usp=sharing"",""พิษณุโลก!M450"")"),72557.76)</f>
        <v>72557.759999999995</v>
      </c>
      <c r="O555" s="168">
        <f t="shared" ca="1" si="120"/>
        <v>13.587595505617976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IFERROR(__xludf.DUMMYFUNCTION("IMPORTRANGE(""https://docs.google.com/spreadsheets/d/11923uPwbBZFjjGgGUA6NLw09EwE0CqkOc4q9oUmW1yo/edit?usp=sharing"",""พิษณุโลก!M451"")"),0)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IFERROR(__xludf.DUMMYFUNCTION("IMPORTRANGE(""https://docs.google.com/spreadsheets/d/11923uPwbBZFjjGgGUA6NLw09EwE0CqkOc4q9oUmW1yo/edit?usp=sharing"",""พิษณุโลก!M452"")"),0)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IFERROR(__xludf.DUMMYFUNCTION("IMPORTRANGE(""https://docs.google.com/spreadsheets/d/11923uPwbBZFjjGgGUA6NLw09EwE0CqkOc4q9oUmW1yo/edit?usp=sharing"",""พิษณุโลก!M453"")"),51667.76)</f>
        <v>51667.76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IFERROR(__xludf.DUMMYFUNCTION("IMPORTRANGE(""https://docs.google.com/spreadsheets/d/11923uPwbBZFjjGgGUA6NLw09EwE0CqkOc4q9oUmW1yo/edit?usp=sharing"",""พิษณุโลก!M454"")"),20890)</f>
        <v>20890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IFERROR(__xludf.DUMMYFUNCTION("IMPORTRANGE(""https://docs.google.com/spreadsheets/d/11923uPwbBZFjjGgGUA6NLw09EwE0CqkOc4q9oUmW1yo/edit?usp=sharing"",""พิษณุโลก!I455"")"),9000)</f>
        <v>9000</v>
      </c>
      <c r="J560" s="162">
        <f ca="1">IFERROR(__xludf.DUMMYFUNCTION("IMPORTRANGE(""https://docs.google.com/spreadsheets/d/11923uPwbBZFjjGgGUA6NLw09EwE0CqkOc4q9oUmW1yo/edit?usp=sharing"",""พิษณุโลก!J455"")"),2327)</f>
        <v>2327</v>
      </c>
      <c r="K560" s="223">
        <f t="shared" ref="K560:K564" ca="1" si="121">IF(I560&gt;0,J560*100/I560,0)</f>
        <v>25.855555555555554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IFERROR(__xludf.DUMMYFUNCTION("IMPORTRANGE(""https://docs.google.com/spreadsheets/d/11923uPwbBZFjjGgGUA6NLw09EwE0CqkOc4q9oUmW1yo/edit?usp=sharing"",""พิษณุโลก!I456"")"),0)</f>
        <v>0</v>
      </c>
      <c r="J561" s="203">
        <f ca="1">IFERROR(__xludf.DUMMYFUNCTION("IMPORTRANGE(""https://docs.google.com/spreadsheets/d/11923uPwbBZFjjGgGUA6NLw09EwE0CqkOc4q9oUmW1yo/edit?usp=sharing"",""พิษณุโลก!J456"")"),144)</f>
        <v>144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f ca="1">IFERROR(__xludf.DUMMYFUNCTION("IMPORTRANGE(""https://docs.google.com/spreadsheets/d/11923uPwbBZFjjGgGUA6NLw09EwE0CqkOc4q9oUmW1yo/edit?usp=sharing"",""พิษณุโลก!I457"")"),0)</f>
        <v>0</v>
      </c>
      <c r="J562" s="203" t="str">
        <f ca="1">IFERROR(__xludf.DUMMYFUNCTION("IMPORTRANGE(""https://docs.google.com/spreadsheets/d/11923uPwbBZFjjGgGUA6NLw09EwE0CqkOc4q9oUmW1yo/edit?usp=sharing"",""พิษณุโลก!J457"")"),"")</f>
        <v/>
      </c>
      <c r="K562" s="163">
        <f t="shared" ca="1" si="121"/>
        <v>0</v>
      </c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f ca="1">IFERROR(__xludf.DUMMYFUNCTION("IMPORTRANGE(""https://docs.google.com/spreadsheets/d/11923uPwbBZFjjGgGUA6NLw09EwE0CqkOc4q9oUmW1yo/edit?usp=sharing"",""พิษณุโลก!I458"")"),0)</f>
        <v>0</v>
      </c>
      <c r="J563" s="187" t="str">
        <f ca="1">IFERROR(__xludf.DUMMYFUNCTION("IMPORTRANGE(""https://docs.google.com/spreadsheets/d/11923uPwbBZFjjGgGUA6NLw09EwE0CqkOc4q9oUmW1yo/edit?usp=sharing"",""พิษณุโลก!J458"")"),"")</f>
        <v/>
      </c>
      <c r="K563" s="163">
        <f t="shared" ca="1" si="121"/>
        <v>0</v>
      </c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IFERROR(__xludf.DUMMYFUNCTION("IMPORTRANGE(""https://docs.google.com/spreadsheets/d/11923uPwbBZFjjGgGUA6NLw09EwE0CqkOc4q9oUmW1yo/edit?usp=sharing"",""พิษณุโลก!I459"")"),1500)</f>
        <v>1500</v>
      </c>
      <c r="J564" s="369">
        <f ca="1">IFERROR(__xludf.DUMMYFUNCTION("IMPORTRANGE(""https://docs.google.com/spreadsheets/d/11923uPwbBZFjjGgGUA6NLw09EwE0CqkOc4q9oUmW1yo/edit?usp=sharing"",""พิษณุโลก!J459"")"),1605)</f>
        <v>1605</v>
      </c>
      <c r="K564" s="370">
        <f t="shared" ca="1" si="121"/>
        <v>107</v>
      </c>
      <c r="L564" s="371">
        <f ca="1">IFERROR(__xludf.DUMMYFUNCTION("IMPORTRANGE(""https://docs.google.com/spreadsheets/d/11923uPwbBZFjjGgGUA6NLw09EwE0CqkOc4q9oUmW1yo/edit?usp=sharing"",""พิษณุโลก!L459"")"),144240)</f>
        <v>144240</v>
      </c>
      <c r="M564" s="371"/>
      <c r="N564" s="371">
        <f ca="1">IFERROR(__xludf.DUMMYFUNCTION("IMPORTRANGE(""https://docs.google.com/spreadsheets/d/11923uPwbBZFjjGgGUA6NLw09EwE0CqkOc4q9oUmW1yo/edit?usp=sharing"",""พิษณุโลก!M459"")"),21294.96)</f>
        <v>21294.959999999999</v>
      </c>
      <c r="O564" s="371">
        <f t="shared" ref="O564:O568" ca="1" si="122">+IF(L564&gt;0,N564*100/L564,0)</f>
        <v>14.763560732113145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IFERROR(__xludf.DUMMYFUNCTION("IMPORTRANGE(""https://docs.google.com/spreadsheets/d/11923uPwbBZFjjGgGUA6NLw09EwE0CqkOc4q9oUmW1yo/edit?usp=sharing"",""พิษณุโลก!L460"")"),0)</f>
        <v>0</v>
      </c>
      <c r="M565" s="164"/>
      <c r="N565" s="168">
        <f ca="1">IFERROR(__xludf.DUMMYFUNCTION("IMPORTRANGE(""https://docs.google.com/spreadsheets/d/11923uPwbBZFjjGgGUA6NLw09EwE0CqkOc4q9oUmW1yo/edit?usp=sharing"",""พิษณุโลก!M460"")"),0)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IFERROR(__xludf.DUMMYFUNCTION("IMPORTRANGE(""https://docs.google.com/spreadsheets/d/11923uPwbBZFjjGgGUA6NLw09EwE0CqkOc4q9oUmW1yo/edit?usp=sharing"",""พิษณุโลก!L461"")"),144240)</f>
        <v>144240</v>
      </c>
      <c r="M566" s="165"/>
      <c r="N566" s="168">
        <f ca="1">IFERROR(__xludf.DUMMYFUNCTION("IMPORTRANGE(""https://docs.google.com/spreadsheets/d/11923uPwbBZFjjGgGUA6NLw09EwE0CqkOc4q9oUmW1yo/edit?usp=sharing"",""พิษณุโลก!M461"")"),21294.96)</f>
        <v>21294.959999999999</v>
      </c>
      <c r="O566" s="168">
        <f t="shared" ca="1" si="122"/>
        <v>14.763560732113145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IFERROR(__xludf.DUMMYFUNCTION("IMPORTRANGE(""https://docs.google.com/spreadsheets/d/11923uPwbBZFjjGgGUA6NLw09EwE0CqkOc4q9oUmW1yo/edit?usp=sharing"",""พิษณุโลก!L462"")"),0)</f>
        <v>0</v>
      </c>
      <c r="M567" s="168"/>
      <c r="N567" s="168">
        <f ca="1">IFERROR(__xludf.DUMMYFUNCTION("IMPORTRANGE(""https://docs.google.com/spreadsheets/d/11923uPwbBZFjjGgGUA6NLw09EwE0CqkOc4q9oUmW1yo/edit?usp=sharing"",""พิษณุโลก!M462"")"),0)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IFERROR(__xludf.DUMMYFUNCTION("IMPORTRANGE(""https://docs.google.com/spreadsheets/d/11923uPwbBZFjjGgGUA6NLw09EwE0CqkOc4q9oUmW1yo/edit?usp=sharing"",""พิษณุโลก!L463"")"),144240)</f>
        <v>144240</v>
      </c>
      <c r="M568" s="168"/>
      <c r="N568" s="168">
        <f ca="1">IFERROR(__xludf.DUMMYFUNCTION("IMPORTRANGE(""https://docs.google.com/spreadsheets/d/11923uPwbBZFjjGgGUA6NLw09EwE0CqkOc4q9oUmW1yo/edit?usp=sharing"",""พิษณุโลก!M463"")"),21294.96)</f>
        <v>21294.959999999999</v>
      </c>
      <c r="O568" s="168">
        <f t="shared" ca="1" si="122"/>
        <v>14.763560732113145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IFERROR(__xludf.DUMMYFUNCTION("IMPORTRANGE(""https://docs.google.com/spreadsheets/d/11923uPwbBZFjjGgGUA6NLw09EwE0CqkOc4q9oUmW1yo/edit?usp=sharing"",""พิษณุโลก!M464"")"),0)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IFERROR(__xludf.DUMMYFUNCTION("IMPORTRANGE(""https://docs.google.com/spreadsheets/d/11923uPwbBZFjjGgGUA6NLw09EwE0CqkOc4q9oUmW1yo/edit?usp=sharing"",""พิษณุโลก!M465"")"),0)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IFERROR(__xludf.DUMMYFUNCTION("IMPORTRANGE(""https://docs.google.com/spreadsheets/d/11923uPwbBZFjjGgGUA6NLw09EwE0CqkOc4q9oUmW1yo/edit?usp=sharing"",""พิษณุโลก!M466"")"),19794.96)</f>
        <v>19794.96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IFERROR(__xludf.DUMMYFUNCTION("IMPORTRANGE(""https://docs.google.com/spreadsheets/d/11923uPwbBZFjjGgGUA6NLw09EwE0CqkOc4q9oUmW1yo/edit?usp=sharing"",""พิษณุโลก!M467"")"),1500)</f>
        <v>1500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IFERROR(__xludf.DUMMYFUNCTION("IMPORTRANGE(""https://docs.google.com/spreadsheets/d/11923uPwbBZFjjGgGUA6NLw09EwE0CqkOc4q9oUmW1yo/edit?usp=sharing"",""พิษณุโลก!I468"")"),1500)</f>
        <v>1500</v>
      </c>
      <c r="J573" s="418">
        <f ca="1">IFERROR(__xludf.DUMMYFUNCTION("IMPORTRANGE(""https://docs.google.com/spreadsheets/d/11923uPwbBZFjjGgGUA6NLw09EwE0CqkOc4q9oUmW1yo/edit?usp=sharing"",""พิษณุโลก!J468"")"),1605)</f>
        <v>1605</v>
      </c>
      <c r="K573" s="201">
        <f ca="1">IF(I573&gt;0,J573*100/I573,0)</f>
        <v>107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IFERROR(__xludf.DUMMYFUNCTION("IMPORTRANGE(""https://docs.google.com/spreadsheets/d/11923uPwbBZFjjGgGUA6NLw09EwE0CqkOc4q9oUmW1yo/edit?usp=sharing"",""พิษณุโลก!I470"")"),0)</f>
        <v>0</v>
      </c>
      <c r="J575" s="197">
        <f ca="1">IFERROR(__xludf.DUMMYFUNCTION("IMPORTRANGE(""https://docs.google.com/spreadsheets/d/11923uPwbBZFjjGgGUA6NLw09EwE0CqkOc4q9oUmW1yo/edit?usp=sharing"",""พิษณุโลก!J470"")"),5)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IFERROR(__xludf.DUMMYFUNCTION("IMPORTRANGE(""https://docs.google.com/spreadsheets/d/11923uPwbBZFjjGgGUA6NLw09EwE0CqkOc4q9oUmW1yo/edit?usp=sharing"",""พิษณุโลก!I471"")"),0)</f>
        <v>0</v>
      </c>
      <c r="J576" s="197">
        <f ca="1">IFERROR(__xludf.DUMMYFUNCTION("IMPORTRANGE(""https://docs.google.com/spreadsheets/d/11923uPwbBZFjjGgGUA6NLw09EwE0CqkOc4q9oUmW1yo/edit?usp=sharing"",""พิษณุโลก!J471"")"),206)</f>
        <v>206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IFERROR(__xludf.DUMMYFUNCTION("IMPORTRANGE(""https://docs.google.com/spreadsheets/d/11923uPwbBZFjjGgGUA6NLw09EwE0CqkOc4q9oUmW1yo/edit?usp=sharing"",""พิษณุโลก!I472"")"),0)</f>
        <v>0</v>
      </c>
      <c r="J577" s="188">
        <f ca="1">IFERROR(__xludf.DUMMYFUNCTION("IMPORTRANGE(""https://docs.google.com/spreadsheets/d/11923uPwbBZFjjGgGUA6NLw09EwE0CqkOc4q9oUmW1yo/edit?usp=sharing"",""พิษณุโลก!J472"")"),1395)</f>
        <v>1395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IFERROR(__xludf.DUMMYFUNCTION("IMPORTRANGE(""https://docs.google.com/spreadsheets/d/11923uPwbBZFjjGgGUA6NLw09EwE0CqkOc4q9oUmW1yo/edit?usp=sharing"",""พิษณุโลก!I473"")"),0)</f>
        <v>0</v>
      </c>
      <c r="J578" s="197">
        <f ca="1">IFERROR(__xludf.DUMMYFUNCTION("IMPORTRANGE(""https://docs.google.com/spreadsheets/d/11923uPwbBZFjjGgGUA6NLw09EwE0CqkOc4q9oUmW1yo/edit?usp=sharing"",""พิษณุโลก!J473"")"),4)</f>
        <v>4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IFERROR(__xludf.DUMMYFUNCTION("IMPORTRANGE(""https://docs.google.com/spreadsheets/d/11923uPwbBZFjjGgGUA6NLw09EwE0CqkOc4q9oUmW1yo/edit?usp=sharing"",""พิษณุโลก!I474"")"),0)</f>
        <v>0</v>
      </c>
      <c r="J579" s="197">
        <f ca="1">IFERROR(__xludf.DUMMYFUNCTION("IMPORTRANGE(""https://docs.google.com/spreadsheets/d/11923uPwbBZFjjGgGUA6NLw09EwE0CqkOc4q9oUmW1yo/edit?usp=sharing"",""พิษณุโลก!J474"")"),0)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IFERROR(__xludf.DUMMYFUNCTION("IMPORTRANGE(""https://docs.google.com/spreadsheets/d/11923uPwbBZFjjGgGUA6NLw09EwE0CqkOc4q9oUmW1yo/edit?usp=sharing"",""พิษณุโลก!I475"")"),24)</f>
        <v>24</v>
      </c>
      <c r="J580" s="369">
        <f ca="1">IFERROR(__xludf.DUMMYFUNCTION("IMPORTRANGE(""https://docs.google.com/spreadsheets/d/11923uPwbBZFjjGgGUA6NLw09EwE0CqkOc4q9oUmW1yo/edit?usp=sharing"",""พิษณุโลก!J475"")"),3)</f>
        <v>3</v>
      </c>
      <c r="K580" s="370">
        <f ca="1">IF(I580&gt;0,J580*100/I580,0)</f>
        <v>12.5</v>
      </c>
      <c r="L580" s="371">
        <f ca="1">IFERROR(__xludf.DUMMYFUNCTION("IMPORTRANGE(""https://docs.google.com/spreadsheets/d/11923uPwbBZFjjGgGUA6NLw09EwE0CqkOc4q9oUmW1yo/edit?usp=sharing"",""พิษณุโลก!L475"")"),127824)</f>
        <v>127824</v>
      </c>
      <c r="M580" s="371"/>
      <c r="N580" s="371">
        <f ca="1">IFERROR(__xludf.DUMMYFUNCTION("IMPORTRANGE(""https://docs.google.com/spreadsheets/d/11923uPwbBZFjjGgGUA6NLw09EwE0CqkOc4q9oUmW1yo/edit?usp=sharing"",""พิษณุโลก!M475"")"),240)</f>
        <v>240</v>
      </c>
      <c r="O580" s="371">
        <f t="shared" ref="O580:O584" ca="1" si="124">+IF(L580&gt;0,N580*100/L580,0)</f>
        <v>0.1877581674802854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IFERROR(__xludf.DUMMYFUNCTION("IMPORTRANGE(""https://docs.google.com/spreadsheets/d/11923uPwbBZFjjGgGUA6NLw09EwE0CqkOc4q9oUmW1yo/edit?usp=sharing"",""พิษณุโลก!L476"")"),0)</f>
        <v>0</v>
      </c>
      <c r="M581" s="164"/>
      <c r="N581" s="168">
        <f ca="1">IFERROR(__xludf.DUMMYFUNCTION("IMPORTRANGE(""https://docs.google.com/spreadsheets/d/11923uPwbBZFjjGgGUA6NLw09EwE0CqkOc4q9oUmW1yo/edit?usp=sharing"",""พิษณุโลก!M476"")"),0)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IFERROR(__xludf.DUMMYFUNCTION("IMPORTRANGE(""https://docs.google.com/spreadsheets/d/11923uPwbBZFjjGgGUA6NLw09EwE0CqkOc4q9oUmW1yo/edit?usp=sharing"",""พิษณุโลก!L477"")"),127824)</f>
        <v>127824</v>
      </c>
      <c r="M582" s="165"/>
      <c r="N582" s="168">
        <f ca="1">IFERROR(__xludf.DUMMYFUNCTION("IMPORTRANGE(""https://docs.google.com/spreadsheets/d/11923uPwbBZFjjGgGUA6NLw09EwE0CqkOc4q9oUmW1yo/edit?usp=sharing"",""พิษณุโลก!M477"")"),240)</f>
        <v>240</v>
      </c>
      <c r="O582" s="168">
        <f t="shared" ca="1" si="124"/>
        <v>0.1877581674802854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IFERROR(__xludf.DUMMYFUNCTION("IMPORTRANGE(""https://docs.google.com/spreadsheets/d/11923uPwbBZFjjGgGUA6NLw09EwE0CqkOc4q9oUmW1yo/edit?usp=sharing"",""พิษณุโลก!L478"")"),0)</f>
        <v>0</v>
      </c>
      <c r="M583" s="168"/>
      <c r="N583" s="168">
        <f ca="1">IFERROR(__xludf.DUMMYFUNCTION("IMPORTRANGE(""https://docs.google.com/spreadsheets/d/11923uPwbBZFjjGgGUA6NLw09EwE0CqkOc4q9oUmW1yo/edit?usp=sharing"",""พิษณุโลก!M478"")"),0)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IFERROR(__xludf.DUMMYFUNCTION("IMPORTRANGE(""https://docs.google.com/spreadsheets/d/11923uPwbBZFjjGgGUA6NLw09EwE0CqkOc4q9oUmW1yo/edit?usp=sharing"",""พิษณุโลก!L479"")"),127824)</f>
        <v>127824</v>
      </c>
      <c r="M584" s="168"/>
      <c r="N584" s="168">
        <f ca="1">IFERROR(__xludf.DUMMYFUNCTION("IMPORTRANGE(""https://docs.google.com/spreadsheets/d/11923uPwbBZFjjGgGUA6NLw09EwE0CqkOc4q9oUmW1yo/edit?usp=sharing"",""พิษณุโลก!M479"")"),240)</f>
        <v>240</v>
      </c>
      <c r="O584" s="168">
        <f t="shared" ca="1" si="124"/>
        <v>0.1877581674802854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IFERROR(__xludf.DUMMYFUNCTION("IMPORTRANGE(""https://docs.google.com/spreadsheets/d/11923uPwbBZFjjGgGUA6NLw09EwE0CqkOc4q9oUmW1yo/edit?usp=sharing"",""พิษณุโลก!M480"")"),0)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IFERROR(__xludf.DUMMYFUNCTION("IMPORTRANGE(""https://docs.google.com/spreadsheets/d/11923uPwbBZFjjGgGUA6NLw09EwE0CqkOc4q9oUmW1yo/edit?usp=sharing"",""พิษณุโลก!M481"")"),0)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IFERROR(__xludf.DUMMYFUNCTION("IMPORTRANGE(""https://docs.google.com/spreadsheets/d/11923uPwbBZFjjGgGUA6NLw09EwE0CqkOc4q9oUmW1yo/edit?usp=sharing"",""พิษณุโลก!M482"")"),0)</f>
        <v>0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IFERROR(__xludf.DUMMYFUNCTION("IMPORTRANGE(""https://docs.google.com/spreadsheets/d/11923uPwbBZFjjGgGUA6NLw09EwE0CqkOc4q9oUmW1yo/edit?usp=sharing"",""พิษณุโลก!M483"")"),240)</f>
        <v>240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IFERROR(__xludf.DUMMYFUNCTION("IMPORTRANGE(""https://docs.google.com/spreadsheets/d/11923uPwbBZFjjGgGUA6NLw09EwE0CqkOc4q9oUmW1yo/edit?usp=sharing"",""พิษณุโลก!I484"")"),24)</f>
        <v>24</v>
      </c>
      <c r="J589" s="187">
        <f ca="1">IFERROR(__xludf.DUMMYFUNCTION("IMPORTRANGE(""https://docs.google.com/spreadsheets/d/11923uPwbBZFjjGgGUA6NLw09EwE0CqkOc4q9oUmW1yo/edit?usp=sharing"",""พิษณุโลก!J484"")"),5)</f>
        <v>5</v>
      </c>
      <c r="K589" s="163">
        <f t="shared" ref="K589:K596" ca="1" si="125">IF(I589&gt;0,J589*100/I589,0)</f>
        <v>20.833333333333332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IFERROR(__xludf.DUMMYFUNCTION("IMPORTRANGE(""https://docs.google.com/spreadsheets/d/11923uPwbBZFjjGgGUA6NLw09EwE0CqkOc4q9oUmW1yo/edit?usp=sharing"",""พิษณุโลก!I485"")"),0)</f>
        <v>0</v>
      </c>
      <c r="J590" s="187">
        <f ca="1">IFERROR(__xludf.DUMMYFUNCTION("IMPORTRANGE(""https://docs.google.com/spreadsheets/d/11923uPwbBZFjjGgGUA6NLw09EwE0CqkOc4q9oUmW1yo/edit?usp=sharing"",""พิษณุโลก!J485"")"),28.33)</f>
        <v>28.33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IFERROR(__xludf.DUMMYFUNCTION("IMPORTRANGE(""https://docs.google.com/spreadsheets/d/11923uPwbBZFjjGgGUA6NLw09EwE0CqkOc4q9oUmW1yo/edit?usp=sharing"",""พิษณุโลก!I486"")"),24)</f>
        <v>24</v>
      </c>
      <c r="J591" s="187">
        <f ca="1">IFERROR(__xludf.DUMMYFUNCTION("IMPORTRANGE(""https://docs.google.com/spreadsheets/d/11923uPwbBZFjjGgGUA6NLw09EwE0CqkOc4q9oUmW1yo/edit?usp=sharing"",""พิษณุโลก!J486"")"),3)</f>
        <v>3</v>
      </c>
      <c r="K591" s="163">
        <f t="shared" ca="1" si="125"/>
        <v>12.5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IFERROR(__xludf.DUMMYFUNCTION("IMPORTRANGE(""https://docs.google.com/spreadsheets/d/11923uPwbBZFjjGgGUA6NLw09EwE0CqkOc4q9oUmW1yo/edit?usp=sharing"",""พิษณุโลก!I487"")"),0)</f>
        <v>0</v>
      </c>
      <c r="J592" s="187">
        <f ca="1">IFERROR(__xludf.DUMMYFUNCTION("IMPORTRANGE(""https://docs.google.com/spreadsheets/d/11923uPwbBZFjjGgGUA6NLw09EwE0CqkOc4q9oUmW1yo/edit?usp=sharing"",""พิษณุโลก!J487"")"),4.76)</f>
        <v>4.76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IFERROR(__xludf.DUMMYFUNCTION("IMPORTRANGE(""https://docs.google.com/spreadsheets/d/11923uPwbBZFjjGgGUA6NLw09EwE0CqkOc4q9oUmW1yo/edit?usp=sharing"",""พิษณุโลก!I488"")"),24)</f>
        <v>24</v>
      </c>
      <c r="J593" s="187">
        <f ca="1">IFERROR(__xludf.DUMMYFUNCTION("IMPORTRANGE(""https://docs.google.com/spreadsheets/d/11923uPwbBZFjjGgGUA6NLw09EwE0CqkOc4q9oUmW1yo/edit?usp=sharing"",""พิษณุโลก!J488"")"),0)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IFERROR(__xludf.DUMMYFUNCTION("IMPORTRANGE(""https://docs.google.com/spreadsheets/d/11923uPwbBZFjjGgGUA6NLw09EwE0CqkOc4q9oUmW1yo/edit?usp=sharing"",""พิษณุโลก!I489"")"),0)</f>
        <v>0</v>
      </c>
      <c r="J594" s="187">
        <f ca="1">IFERROR(__xludf.DUMMYFUNCTION("IMPORTRANGE(""https://docs.google.com/spreadsheets/d/11923uPwbBZFjjGgGUA6NLw09EwE0CqkOc4q9oUmW1yo/edit?usp=sharing"",""พิษณุโลก!J489"")"),0)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IFERROR(__xludf.DUMMYFUNCTION("IMPORTRANGE(""https://docs.google.com/spreadsheets/d/11923uPwbBZFjjGgGUA6NLw09EwE0CqkOc4q9oUmW1yo/edit?usp=sharing"",""พิษณุโลก!I490"")"),24)</f>
        <v>24</v>
      </c>
      <c r="J595" s="187">
        <f ca="1">IFERROR(__xludf.DUMMYFUNCTION("IMPORTRANGE(""https://docs.google.com/spreadsheets/d/11923uPwbBZFjjGgGUA6NLw09EwE0CqkOc4q9oUmW1yo/edit?usp=sharing"",""พิษณุโลก!J490"")"),3)</f>
        <v>3</v>
      </c>
      <c r="K595" s="163">
        <f t="shared" ca="1" si="125"/>
        <v>12.5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IFERROR(__xludf.DUMMYFUNCTION("IMPORTRANGE(""https://docs.google.com/spreadsheets/d/11923uPwbBZFjjGgGUA6NLw09EwE0CqkOc4q9oUmW1yo/edit?usp=sharing"",""พิษณุโลก!I491"")"),0)</f>
        <v>0</v>
      </c>
      <c r="J596" s="240">
        <f ca="1">IFERROR(__xludf.DUMMYFUNCTION("IMPORTRANGE(""https://docs.google.com/spreadsheets/d/11923uPwbBZFjjGgGUA6NLw09EwE0CqkOc4q9oUmW1yo/edit?usp=sharing"",""พิษณุโลก!J491"")"),4.76)</f>
        <v>4.76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IFERROR(__xludf.DUMMYFUNCTION("IMPORTRANGE(""https://docs.google.com/spreadsheets/d/11923uPwbBZFjjGgGUA6NLw09EwE0CqkOc4q9oUmW1yo/edit?usp=sharing"",""พิษณุโลก!I492"")"),50)</f>
        <v>50</v>
      </c>
      <c r="J597" s="485">
        <f ca="1">IFERROR(__xludf.DUMMYFUNCTION("IMPORTRANGE(""https://docs.google.com/spreadsheets/d/11923uPwbBZFjjGgGUA6NLw09EwE0CqkOc4q9oUmW1yo/edit?usp=sharing"",""พิษณุโลก!J492"")"),0)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IFERROR(__xludf.DUMMYFUNCTION("IMPORTRANGE(""https://docs.google.com/spreadsheets/d/11923uPwbBZFjjGgGUA6NLw09EwE0CqkOc4q9oUmW1yo/edit?usp=sharing"",""พิษณุโลก!L492"")"),4550)</f>
        <v>4550</v>
      </c>
      <c r="M597" s="410"/>
      <c r="N597" s="410">
        <f ca="1">IFERROR(__xludf.DUMMYFUNCTION("IMPORTRANGE(""https://docs.google.com/spreadsheets/d/11923uPwbBZFjjGgGUA6NLw09EwE0CqkOc4q9oUmW1yo/edit?usp=sharing"",""พิษณุโลก!M492"")"),400)</f>
        <v>400</v>
      </c>
      <c r="O597" s="410">
        <f t="shared" ref="O597:O601" ca="1" si="126">+IF(L597&gt;0,N597*100/L597,0)</f>
        <v>8.791208791208792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IFERROR(__xludf.DUMMYFUNCTION("IMPORTRANGE(""https://docs.google.com/spreadsheets/d/11923uPwbBZFjjGgGUA6NLw09EwE0CqkOc4q9oUmW1yo/edit?usp=sharing"",""พิษณุโลก!L493"")"),0)</f>
        <v>0</v>
      </c>
      <c r="M598" s="164"/>
      <c r="N598" s="168">
        <f ca="1">IFERROR(__xludf.DUMMYFUNCTION("IMPORTRANGE(""https://docs.google.com/spreadsheets/d/11923uPwbBZFjjGgGUA6NLw09EwE0CqkOc4q9oUmW1yo/edit?usp=sharing"",""พิษณุโลก!M493"")"),0)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IFERROR(__xludf.DUMMYFUNCTION("IMPORTRANGE(""https://docs.google.com/spreadsheets/d/11923uPwbBZFjjGgGUA6NLw09EwE0CqkOc4q9oUmW1yo/edit?usp=sharing"",""พิษณุโลก!L494"")"),4550)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IFERROR(__xludf.DUMMYFUNCTION("IMPORTRANGE(""https://docs.google.com/spreadsheets/d/11923uPwbBZFjjGgGUA6NLw09EwE0CqkOc4q9oUmW1yo/edit?usp=sharing"",""พิษณุโลก!M494"")"),400)</f>
        <v>400</v>
      </c>
      <c r="O599" s="168">
        <f t="shared" ca="1" si="126"/>
        <v>8.791208791208792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IFERROR(__xludf.DUMMYFUNCTION("IMPORTRANGE(""https://docs.google.com/spreadsheets/d/11923uPwbBZFjjGgGUA6NLw09EwE0CqkOc4q9oUmW1yo/edit?usp=sharing"",""พิษณุโลก!L495"")"),0)</f>
        <v>0</v>
      </c>
      <c r="M600" s="168"/>
      <c r="N600" s="168">
        <f ca="1">IFERROR(__xludf.DUMMYFUNCTION("IMPORTRANGE(""https://docs.google.com/spreadsheets/d/11923uPwbBZFjjGgGUA6NLw09EwE0CqkOc4q9oUmW1yo/edit?usp=sharing"",""พิษณุโลก!M495"")"),0)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IFERROR(__xludf.DUMMYFUNCTION("IMPORTRANGE(""https://docs.google.com/spreadsheets/d/11923uPwbBZFjjGgGUA6NLw09EwE0CqkOc4q9oUmW1yo/edit?usp=sharing"",""พิษณุโลก!L496"")"),4550)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IFERROR(__xludf.DUMMYFUNCTION("IMPORTRANGE(""https://docs.google.com/spreadsheets/d/11923uPwbBZFjjGgGUA6NLw09EwE0CqkOc4q9oUmW1yo/edit?usp=sharing"",""พิษณุโลก!M496"")"),400)</f>
        <v>400</v>
      </c>
      <c r="O601" s="168">
        <f t="shared" ca="1" si="126"/>
        <v>8.791208791208792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IFERROR(__xludf.DUMMYFUNCTION("IMPORTRANGE(""https://docs.google.com/spreadsheets/d/11923uPwbBZFjjGgGUA6NLw09EwE0CqkOc4q9oUmW1yo/edit?usp=sharing"",""พิษณุโลก!M497"")"),0)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IFERROR(__xludf.DUMMYFUNCTION("IMPORTRANGE(""https://docs.google.com/spreadsheets/d/11923uPwbBZFjjGgGUA6NLw09EwE0CqkOc4q9oUmW1yo/edit?usp=sharing"",""พิษณุโลก!M498"")"),0)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IFERROR(__xludf.DUMMYFUNCTION("IMPORTRANGE(""https://docs.google.com/spreadsheets/d/11923uPwbBZFjjGgGUA6NLw09EwE0CqkOc4q9oUmW1yo/edit?usp=sharing"",""พิษณุโลก!M499"")"),0)</f>
        <v>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IFERROR(__xludf.DUMMYFUNCTION("IMPORTRANGE(""https://docs.google.com/spreadsheets/d/11923uPwbBZFjjGgGUA6NLw09EwE0CqkOc4q9oUmW1yo/edit?usp=sharing"",""พิษณุโลก!M500"")"),400)</f>
        <v>400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IFERROR(__xludf.DUMMYFUNCTION("IMPORTRANGE(""https://docs.google.com/spreadsheets/d/11923uPwbBZFjjGgGUA6NLw09EwE0CqkOc4q9oUmW1yo/edit?usp=sharing"",""พิษณุโลก!J502"")"),0)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IFERROR(__xludf.DUMMYFUNCTION("IMPORTRANGE(""https://docs.google.com/spreadsheets/d/11923uPwbBZFjjGgGUA6NLw09EwE0CqkOc4q9oUmW1yo/edit?usp=sharing"",""พิษณุโลก!J503"")"),1)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IFERROR(__xludf.DUMMYFUNCTION("IMPORTRANGE(""https://docs.google.com/spreadsheets/d/11923uPwbBZFjjGgGUA6NLw09EwE0CqkOc4q9oUmW1yo/edit?usp=sharing"",""พิษณุโลก!J166"")"),0)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IFERROR(__xludf.DUMMYFUNCTION("IMPORTRANGE(""https://docs.google.com/spreadsheets/d/11923uPwbBZFjjGgGUA6NLw09EwE0CqkOc4q9oUmW1yo/edit?usp=sharing"",""พิษณุโลก!J166"")"),0)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IFERROR(__xludf.DUMMYFUNCTION("IMPORTRANGE(""https://docs.google.com/spreadsheets/d/11923uPwbBZFjjGgGUA6NLw09EwE0CqkOc4q9oUmW1yo/edit?usp=sharing"",""พิษณุโลก!I506"")"),50)</f>
        <v>50</v>
      </c>
      <c r="J611" s="162">
        <f ca="1">IFERROR(__xludf.DUMMYFUNCTION("IMPORTRANGE(""https://docs.google.com/spreadsheets/d/11923uPwbBZFjjGgGUA6NLw09EwE0CqkOc4q9oUmW1yo/edit?usp=sharing"",""พิษณุโลก!J506"")"),0)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IFERROR(__xludf.DUMMYFUNCTION("IMPORTRANGE(""https://docs.google.com/spreadsheets/d/11923uPwbBZFjjGgGUA6NLw09EwE0CqkOc4q9oUmW1yo/edit?usp=sharing"",""พิษณุโลก!I507"")"),0)</f>
        <v>0</v>
      </c>
      <c r="J612" s="197">
        <f ca="1">IFERROR(__xludf.DUMMYFUNCTION("IMPORTRANGE(""https://docs.google.com/spreadsheets/d/11923uPwbBZFjjGgGUA6NLw09EwE0CqkOc4q9oUmW1yo/edit?usp=sharing"",""พิษณุโลก!J507"")"),0)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IFERROR(__xludf.DUMMYFUNCTION("IMPORTRANGE(""https://docs.google.com/spreadsheets/d/11923uPwbBZFjjGgGUA6NLw09EwE0CqkOc4q9oUmW1yo/edit?usp=sharing"",""พิษณุโลก!I508"")"),0)</f>
        <v>0</v>
      </c>
      <c r="J613" s="197">
        <f ca="1">IFERROR(__xludf.DUMMYFUNCTION("IMPORTRANGE(""https://docs.google.com/spreadsheets/d/11923uPwbBZFjjGgGUA6NLw09EwE0CqkOc4q9oUmW1yo/edit?usp=sharing"",""พิษณุโลก!J508"")"),0)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IFERROR(__xludf.DUMMYFUNCTION("IMPORTRANGE(""https://docs.google.com/spreadsheets/d/11923uPwbBZFjjGgGUA6NLw09EwE0CqkOc4q9oUmW1yo/edit?usp=sharing"",""พิษณุโลก!I509"")"),0)</f>
        <v>0</v>
      </c>
      <c r="J614" s="197">
        <f ca="1">IFERROR(__xludf.DUMMYFUNCTION("IMPORTRANGE(""https://docs.google.com/spreadsheets/d/11923uPwbBZFjjGgGUA6NLw09EwE0CqkOc4q9oUmW1yo/edit?usp=sharing"",""พิษณุโลก!J509"")"),0)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IFERROR(__xludf.DUMMYFUNCTION("IMPORTRANGE(""https://docs.google.com/spreadsheets/d/11923uPwbBZFjjGgGUA6NLw09EwE0CqkOc4q9oUmW1yo/edit?usp=sharing"",""พิษณุโลก!I510"")"),0)</f>
        <v>0</v>
      </c>
      <c r="J615" s="197">
        <f ca="1">IFERROR(__xludf.DUMMYFUNCTION("IMPORTRANGE(""https://docs.google.com/spreadsheets/d/11923uPwbBZFjjGgGUA6NLw09EwE0CqkOc4q9oUmW1yo/edit?usp=sharing"",""พิษณุโลก!J510"")"),0)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IFERROR(__xludf.DUMMYFUNCTION("IMPORTRANGE(""https://docs.google.com/spreadsheets/d/11923uPwbBZFjjGgGUA6NLw09EwE0CqkOc4q9oUmW1yo/edit?usp=sharing"",""พิษณุโลก!I511"")"),0)</f>
        <v>0</v>
      </c>
      <c r="J616" s="197">
        <f ca="1">IFERROR(__xludf.DUMMYFUNCTION("IMPORTRANGE(""https://docs.google.com/spreadsheets/d/11923uPwbBZFjjGgGUA6NLw09EwE0CqkOc4q9oUmW1yo/edit?usp=sharing"",""พิษณุโลก!J511"")"),0)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IFERROR(__xludf.DUMMYFUNCTION("IMPORTRANGE(""https://docs.google.com/spreadsheets/d/11923uPwbBZFjjGgGUA6NLw09EwE0CqkOc4q9oUmW1yo/edit?usp=sharing"",""พิษณุโลก!I512"")"),0)</f>
        <v>0</v>
      </c>
      <c r="J617" s="187">
        <f ca="1">IFERROR(__xludf.DUMMYFUNCTION("IMPORTRANGE(""https://docs.google.com/spreadsheets/d/11923uPwbBZFjjGgGUA6NLw09EwE0CqkOc4q9oUmW1yo/edit?usp=sharing"",""พิษณุโลก!J512"")"),0)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IFERROR(__xludf.DUMMYFUNCTION("IMPORTRANGE(""https://docs.google.com/spreadsheets/d/11923uPwbBZFjjGgGUA6NLw09EwE0CqkOc4q9oUmW1yo/edit?usp=sharing"",""พิษณุโลก!I513"")"),0)</f>
        <v>0</v>
      </c>
      <c r="J618" s="188">
        <f ca="1">IFERROR(__xludf.DUMMYFUNCTION("IMPORTRANGE(""https://docs.google.com/spreadsheets/d/11923uPwbBZFjjGgGUA6NLw09EwE0CqkOc4q9oUmW1yo/edit?usp=sharing"",""พิษณุโลก!J513"")"),0)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IFERROR(__xludf.DUMMYFUNCTION("IMPORTRANGE(""https://docs.google.com/spreadsheets/d/11923uPwbBZFjjGgGUA6NLw09EwE0CqkOc4q9oUmW1yo/edit?usp=sharing"",""พิษณุโลก!I514"")"),0)</f>
        <v>0</v>
      </c>
      <c r="J619" s="188">
        <f ca="1">IFERROR(__xludf.DUMMYFUNCTION("IMPORTRANGE(""https://docs.google.com/spreadsheets/d/11923uPwbBZFjjGgGUA6NLw09EwE0CqkOc4q9oUmW1yo/edit?usp=sharing"",""พิษณุโลก!J514"")"),0)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IFERROR(__xludf.DUMMYFUNCTION("IMPORTRANGE(""https://docs.google.com/spreadsheets/d/11923uPwbBZFjjGgGUA6NLw09EwE0CqkOc4q9oUmW1yo/edit?usp=sharing"",""พิษณุโลก!I515"")"),32)</f>
        <v>32</v>
      </c>
      <c r="J620" s="202">
        <f ca="1">IFERROR(__xludf.DUMMYFUNCTION("IMPORTRANGE(""https://docs.google.com/spreadsheets/d/11923uPwbBZFjjGgGUA6NLw09EwE0CqkOc4q9oUmW1yo/edit?usp=sharing"",""พิษณุโลก!J515"")"),0)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IFERROR(__xludf.DUMMYFUNCTION("IMPORTRANGE(""https://docs.google.com/spreadsheets/d/11923uPwbBZFjjGgGUA6NLw09EwE0CqkOc4q9oUmW1yo/edit?usp=sharing"",""พิษณุโลก!I516"")"),0)</f>
        <v>0</v>
      </c>
      <c r="J621" s="202">
        <f ca="1">IFERROR(__xludf.DUMMYFUNCTION("IMPORTRANGE(""https://docs.google.com/spreadsheets/d/11923uPwbBZFjjGgGUA6NLw09EwE0CqkOc4q9oUmW1yo/edit?usp=sharing"",""พิษณุโลก!J516"")"),0)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IFERROR(__xludf.DUMMYFUNCTION("IMPORTRANGE(""https://docs.google.com/spreadsheets/d/11923uPwbBZFjjGgGUA6NLw09EwE0CqkOc4q9oUmW1yo/edit?usp=sharing"",""พิษณุโลก!I517"")"),0)</f>
        <v>0</v>
      </c>
      <c r="J622" s="188">
        <f ca="1">IFERROR(__xludf.DUMMYFUNCTION("IMPORTRANGE(""https://docs.google.com/spreadsheets/d/11923uPwbBZFjjGgGUA6NLw09EwE0CqkOc4q9oUmW1yo/edit?usp=sharing"",""พิษณุโลก!J517"")"),0)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IFERROR(__xludf.DUMMYFUNCTION("IMPORTRANGE(""https://docs.google.com/spreadsheets/d/11923uPwbBZFjjGgGUA6NLw09EwE0CqkOc4q9oUmW1yo/edit?usp=sharing"",""พิษณุโลก!I518"")"),0)</f>
        <v>0</v>
      </c>
      <c r="J623" s="188">
        <f ca="1">IFERROR(__xludf.DUMMYFUNCTION("IMPORTRANGE(""https://docs.google.com/spreadsheets/d/11923uPwbBZFjjGgGUA6NLw09EwE0CqkOc4q9oUmW1yo/edit?usp=sharing"",""พิษณุโลก!J518"")"),0)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IFERROR(__xludf.DUMMYFUNCTION("IMPORTRANGE(""https://docs.google.com/spreadsheets/d/11923uPwbBZFjjGgGUA6NLw09EwE0CqkOc4q9oUmW1yo/edit?usp=sharing"",""พิษณุโลก!I519"")"),0)</f>
        <v>0</v>
      </c>
      <c r="J624" s="187">
        <f ca="1">IFERROR(__xludf.DUMMYFUNCTION("IMPORTRANGE(""https://docs.google.com/spreadsheets/d/11923uPwbBZFjjGgGUA6NLw09EwE0CqkOc4q9oUmW1yo/edit?usp=sharing"",""พิษณุโลก!J519"")"),0)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IFERROR(__xludf.DUMMYFUNCTION("IMPORTRANGE(""https://docs.google.com/spreadsheets/d/11923uPwbBZFjjGgGUA6NLw09EwE0CqkOc4q9oUmW1yo/edit?usp=sharing"",""พิษณุโลก!I520"")"),0)</f>
        <v>0</v>
      </c>
      <c r="J625" s="188">
        <f ca="1">IFERROR(__xludf.DUMMYFUNCTION("IMPORTRANGE(""https://docs.google.com/spreadsheets/d/11923uPwbBZFjjGgGUA6NLw09EwE0CqkOc4q9oUmW1yo/edit?usp=sharing"",""พิษณุโลก!J520"")"),0)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IFERROR(__xludf.DUMMYFUNCTION("IMPORTRANGE(""https://docs.google.com/spreadsheets/d/11923uPwbBZFjjGgGUA6NLw09EwE0CqkOc4q9oUmW1yo/edit?usp=sharing"",""พิษณุโลก!I521"")"),0)</f>
        <v>0</v>
      </c>
      <c r="J626" s="188">
        <f ca="1">IFERROR(__xludf.DUMMYFUNCTION("IMPORTRANGE(""https://docs.google.com/spreadsheets/d/11923uPwbBZFjjGgGUA6NLw09EwE0CqkOc4q9oUmW1yo/edit?usp=sharing"",""พิษณุโลก!J521"")"),0)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39">
        <f ca="1">IFERROR(__xludf.DUMMYFUNCTION("IMPORTRANGE(""https://docs.google.com/spreadsheets/d/11923uPwbBZFjjGgGUA6NLw09EwE0CqkOc4q9oUmW1yo/edit?usp=sharing"",""พิษณุโลก!J523"")"),1288954.18)</f>
        <v>1288954.18</v>
      </c>
      <c r="K628" s="340">
        <f t="shared" ref="K628:K635" ca="1" si="129">IF(I628&gt;0,J628*100/I628,0)</f>
        <v>33.133343405473759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IFERROR(__xludf.DUMMYFUNCTION("IMPORTRANGE(""https://docs.google.com/spreadsheets/d/11923uPwbBZFjjGgGUA6NLw09EwE0CqkOc4q9oUmW1yo/edit?usp=sharing"",""พิษณุโลก!I524"")"),290)</f>
        <v>290</v>
      </c>
      <c r="J629" s="339">
        <f ca="1">IFERROR(__xludf.DUMMYFUNCTION("IMPORTRANGE(""https://docs.google.com/spreadsheets/d/11923uPwbBZFjjGgGUA6NLw09EwE0CqkOc4q9oUmW1yo/edit?usp=sharing"",""พิษณุโลก!J524"")"),95)</f>
        <v>95</v>
      </c>
      <c r="K629" s="340">
        <f t="shared" ca="1" si="129"/>
        <v>32.758620689655174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39">
        <f ca="1">IFERROR(__xludf.DUMMYFUNCTION("IMPORTRANGE(""https://docs.google.com/spreadsheets/d/11923uPwbBZFjjGgGUA6NLw09EwE0CqkOc4q9oUmW1yo/edit?usp=sharing"",""พิษณุโลก!J525"")"),325341.84)</f>
        <v>325341.84000000003</v>
      </c>
      <c r="K630" s="340">
        <f t="shared" ca="1" si="129"/>
        <v>12.700071694844651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IFERROR(__xludf.DUMMYFUNCTION("IMPORTRANGE(""https://docs.google.com/spreadsheets/d/11923uPwbBZFjjGgGUA6NLw09EwE0CqkOc4q9oUmW1yo/edit?usp=sharing"",""พิษณุโลก!I526"")"),116)</f>
        <v>116</v>
      </c>
      <c r="J631" s="339">
        <f ca="1">IFERROR(__xludf.DUMMYFUNCTION("IMPORTRANGE(""https://docs.google.com/spreadsheets/d/11923uPwbBZFjjGgGUA6NLw09EwE0CqkOc4q9oUmW1yo/edit?usp=sharing"",""พิษณุโลก!J526"")"),78)</f>
        <v>78</v>
      </c>
      <c r="K631" s="340">
        <f t="shared" ca="1" si="129"/>
        <v>67.241379310344826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IFERROR(__xludf.DUMMYFUNCTION("IMPORTRANGE(""https://docs.google.com/spreadsheets/d/11923uPwbBZFjjGgGUA6NLw09EwE0CqkOc4q9oUmW1yo/edit?usp=sharing"",""พิษณุโลก!I527"")"),0)</f>
        <v>0</v>
      </c>
      <c r="J632" s="339">
        <f ca="1">IFERROR(__xludf.DUMMYFUNCTION("IMPORTRANGE(""https://docs.google.com/spreadsheets/d/11923uPwbBZFjjGgGUA6NLw09EwE0CqkOc4q9oUmW1yo/edit?usp=sharing"",""พิษณุโลก!J527"")"),0)</f>
        <v>0</v>
      </c>
      <c r="K632" s="340">
        <f t="shared" ca="1" si="129"/>
        <v>0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IFERROR(__xludf.DUMMYFUNCTION("IMPORTRANGE(""https://docs.google.com/spreadsheets/d/11923uPwbBZFjjGgGUA6NLw09EwE0CqkOc4q9oUmW1yo/edit?usp=sharing"",""พิษณุโลก!I528"")"),0)</f>
        <v>0</v>
      </c>
      <c r="J633" s="339">
        <f ca="1">IFERROR(__xludf.DUMMYFUNCTION("IMPORTRANGE(""https://docs.google.com/spreadsheets/d/11923uPwbBZFjjGgGUA6NLw09EwE0CqkOc4q9oUmW1yo/edit?usp=sharing"",""พิษณุโลก!J528"")"),0)</f>
        <v>0</v>
      </c>
      <c r="K633" s="340">
        <f t="shared" ca="1" si="129"/>
        <v>0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IFERROR(__xludf.DUMMYFUNCTION("IMPORTRANGE(""https://docs.google.com/spreadsheets/d/11923uPwbBZFjjGgGUA6NLw09EwE0CqkOc4q9oUmW1yo/edit?usp=sharing"",""พิษณุโลก!I529"")"),4000000)</f>
        <v>4000000</v>
      </c>
      <c r="J634" s="339">
        <f ca="1">IFERROR(__xludf.DUMMYFUNCTION("IMPORTRANGE(""https://docs.google.com/spreadsheets/d/11923uPwbBZFjjGgGUA6NLw09EwE0CqkOc4q9oUmW1yo/edit?usp=sharing"",""พิษณุโลก!J529"")"),0)</f>
        <v>0</v>
      </c>
      <c r="K634" s="340">
        <f t="shared" ca="1" si="129"/>
        <v>0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IFERROR(__xludf.DUMMYFUNCTION("IMPORTRANGE(""https://docs.google.com/spreadsheets/d/11923uPwbBZFjjGgGUA6NLw09EwE0CqkOc4q9oUmW1yo/edit?usp=sharing"",""พิษณุโลก!I530"")"),100)</f>
        <v>100</v>
      </c>
      <c r="J635" s="502">
        <f ca="1">IFERROR(__xludf.DUMMYFUNCTION("IMPORTRANGE(""https://docs.google.com/spreadsheets/d/11923uPwbBZFjjGgGUA6NLw09EwE0CqkOc4q9oUmW1yo/edit?usp=sharing"",""พิษณุโลก!J530"")"),0)</f>
        <v>0</v>
      </c>
      <c r="K635" s="484">
        <f t="shared" ca="1" si="129"/>
        <v>0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9" width="15.36328125" bestFit="1" customWidth="1"/>
    <col min="10" max="10" width="13.90625" bestFit="1" customWidth="1"/>
    <col min="11" max="11" width="11" bestFit="1" customWidth="1"/>
    <col min="12" max="13" width="20.08984375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256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7133761</v>
      </c>
      <c r="M8" s="23">
        <f t="shared" ca="1" si="0"/>
        <v>2290978</v>
      </c>
      <c r="N8" s="23">
        <f t="shared" ca="1" si="0"/>
        <v>2930669.96</v>
      </c>
      <c r="O8" s="22">
        <f t="shared" ref="O8:O16" ca="1" si="1">IF(L8&gt;0,N8*100/L8,0)</f>
        <v>41.081695335742253</v>
      </c>
      <c r="P8" s="22">
        <f t="shared" ref="P8:P16" ca="1" si="2">IF(M8&gt;0,N8*100/M8,0)</f>
        <v>127.9222218633265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7133761</v>
      </c>
      <c r="M10" s="30">
        <f t="shared" ca="1" si="4"/>
        <v>2290978</v>
      </c>
      <c r="N10" s="30">
        <f t="shared" ca="1" si="4"/>
        <v>2930669.96</v>
      </c>
      <c r="O10" s="29">
        <f t="shared" ca="1" si="1"/>
        <v>41.081695335742253</v>
      </c>
      <c r="P10" s="29">
        <f t="shared" ca="1" si="2"/>
        <v>127.9222218633265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6900461</v>
      </c>
      <c r="M12" s="38">
        <f t="shared" ca="1" si="6"/>
        <v>2057678</v>
      </c>
      <c r="N12" s="38">
        <f t="shared" ca="1" si="6"/>
        <v>2697369.96</v>
      </c>
      <c r="O12" s="38">
        <f t="shared" ca="1" si="1"/>
        <v>39.089706615253675</v>
      </c>
      <c r="P12" s="38">
        <f t="shared" ca="1" si="2"/>
        <v>131.08804973372898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1991600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4908861</v>
      </c>
      <c r="M14" s="38">
        <f t="shared" si="8"/>
        <v>0</v>
      </c>
      <c r="N14" s="38">
        <f t="shared" ca="1" si="8"/>
        <v>1005013.96</v>
      </c>
      <c r="O14" s="38">
        <f t="shared" ca="1" si="1"/>
        <v>20.473465433223716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233300</v>
      </c>
      <c r="M16" s="38">
        <f t="shared" ca="1" si="10"/>
        <v>233300</v>
      </c>
      <c r="N16" s="38">
        <f t="shared" ca="1" si="10"/>
        <v>233300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3960805</v>
      </c>
      <c r="M18" s="23">
        <f t="shared" ca="1" si="11"/>
        <v>2290978</v>
      </c>
      <c r="N18" s="23">
        <f t="shared" ca="1" si="11"/>
        <v>1925656</v>
      </c>
      <c r="O18" s="22">
        <f t="shared" ref="O18:O20" ca="1" si="12">IF(L18&gt;0,N18*100/L18,0)</f>
        <v>48.617793605087854</v>
      </c>
      <c r="P18" s="22">
        <f t="shared" ref="P18:P26" ca="1" si="13">IF(M18&gt;0,N18*100/M18,0)</f>
        <v>84.053884410937158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3960805</v>
      </c>
      <c r="M20" s="30">
        <f t="shared" ca="1" si="15"/>
        <v>2290978</v>
      </c>
      <c r="N20" s="30">
        <f t="shared" ca="1" si="15"/>
        <v>1925656</v>
      </c>
      <c r="O20" s="29">
        <f t="shared" ca="1" si="12"/>
        <v>48.617793605087854</v>
      </c>
      <c r="P20" s="29">
        <f t="shared" ca="1" si="13"/>
        <v>84.053884410937158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3727505</v>
      </c>
      <c r="M22" s="41">
        <f t="shared" ca="1" si="18"/>
        <v>2057678</v>
      </c>
      <c r="N22" s="38">
        <f t="shared" ca="1" si="18"/>
        <v>1692356</v>
      </c>
      <c r="O22" s="38">
        <f t="shared" ca="1" si="17"/>
        <v>45.401843860705753</v>
      </c>
      <c r="P22" s="38">
        <f t="shared" ca="1" si="13"/>
        <v>82.245910195861555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1991600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1735905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233300</v>
      </c>
      <c r="M26" s="49">
        <f t="shared" ca="1" si="22"/>
        <v>233300</v>
      </c>
      <c r="N26" s="49">
        <f t="shared" ca="1" si="22"/>
        <v>233300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3172956</v>
      </c>
      <c r="M28" s="23">
        <f t="shared" si="23"/>
        <v>0</v>
      </c>
      <c r="N28" s="23">
        <f t="shared" ca="1" si="23"/>
        <v>1005013.96</v>
      </c>
      <c r="O28" s="22">
        <f t="shared" ref="O28:O30" ca="1" si="24">IF(L28&gt;0,N28*100/L28,0)</f>
        <v>31.674374305852336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3172956</v>
      </c>
      <c r="M30" s="30">
        <f t="shared" si="27"/>
        <v>0</v>
      </c>
      <c r="N30" s="30">
        <f t="shared" ca="1" si="27"/>
        <v>1005013.96</v>
      </c>
      <c r="O30" s="29">
        <f t="shared" ca="1" si="24"/>
        <v>31.674374305852336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3172956</v>
      </c>
      <c r="M32" s="38">
        <f t="shared" si="30"/>
        <v>0</v>
      </c>
      <c r="N32" s="38">
        <f t="shared" ca="1" si="30"/>
        <v>1005013.96</v>
      </c>
      <c r="O32" s="38">
        <f t="shared" ca="1" si="29"/>
        <v>31.674374305852336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3172956</v>
      </c>
      <c r="M34" s="38">
        <f t="shared" si="32"/>
        <v>0</v>
      </c>
      <c r="N34" s="38">
        <f t="shared" ca="1" si="32"/>
        <v>1005013.96</v>
      </c>
      <c r="O34" s="38">
        <f t="shared" ca="1" si="29"/>
        <v>31.674374305852336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3960805</v>
      </c>
      <c r="M37" s="54">
        <f t="shared" ca="1" si="33"/>
        <v>2290978</v>
      </c>
      <c r="N37" s="54">
        <f t="shared" ca="1" si="33"/>
        <v>1925656</v>
      </c>
      <c r="O37" s="55">
        <f t="shared" ca="1" si="29"/>
        <v>48.617793605087854</v>
      </c>
      <c r="P37" s="55">
        <f t="shared" ca="1" si="25"/>
        <v>84.053884410937158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978600</v>
      </c>
      <c r="M41" s="78">
        <f t="shared" ca="1" si="34"/>
        <v>573600</v>
      </c>
      <c r="N41" s="78">
        <f t="shared" ca="1" si="34"/>
        <v>474759</v>
      </c>
      <c r="O41" s="77">
        <f t="shared" ref="O41:O43" ca="1" si="35">IF(L41&gt;0,N41*100/L41,0)</f>
        <v>48.514101778050275</v>
      </c>
      <c r="P41" s="77">
        <f t="shared" ref="P41:P43" ca="1" si="36">IF(M41&gt;0,N41*100/M41,0)</f>
        <v>82.768305439330547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978600</v>
      </c>
      <c r="M43" s="78">
        <f t="shared" ca="1" si="38"/>
        <v>573600</v>
      </c>
      <c r="N43" s="78">
        <f t="shared" ca="1" si="38"/>
        <v>474759</v>
      </c>
      <c r="O43" s="77">
        <f t="shared" ca="1" si="35"/>
        <v>48.514101778050275</v>
      </c>
      <c r="P43" s="77">
        <f t="shared" ca="1" si="36"/>
        <v>82.768305439330547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810100</v>
      </c>
      <c r="M45" s="49">
        <f ca="1">IFERROR(__xludf.DUMMYFUNCTION("IMPORTRANGE(""https://docs.google.com/spreadsheets/d/1Yj_ptqi66GCucihVvJfMjLAmec39IyEx_6qawtMGysU/edit?usp=sharing"",""สบก!Q29"")"),405100)</f>
        <v>405100</v>
      </c>
      <c r="N45" s="49">
        <f ca="1">IFERROR(__xludf.DUMMYFUNCTION("IMPORTRANGE(""https://docs.google.com/spreadsheets/d/1Yj_ptqi66GCucihVvJfMjLAmec39IyEx_6qawtMGysU/edit?usp=sharing"",""สบก!R29"")"),306259)</f>
        <v>306259</v>
      </c>
      <c r="O45" s="38">
        <f ca="1">IF(L45&gt;0,N45*100/L45,0)</f>
        <v>37.805085791877545</v>
      </c>
      <c r="P45" s="38">
        <f ca="1">IF(M45&gt;0,N45*100/M45,0)</f>
        <v>75.600839298938538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IFERROR(__xludf.DUMMYFUNCTION("IMPORTRANGE(""https://docs.google.com/spreadsheets/d/1Yj_ptqi66GCucihVvJfMjLAmec39IyEx_6qawtMGysU/edit?usp=sharing"",""สบก!M29"")"),810100)</f>
        <v>810100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IFERROR(__xludf.DUMMYFUNCTION("IMPORTRANGE(""https://docs.google.com/spreadsheets/d/1Yj_ptqi66GCucihVvJfMjLAmec39IyEx_6qawtMGysU/edit?usp=sharing"",""สบก!O29"")"),168500)</f>
        <v>168500</v>
      </c>
      <c r="M49" s="49">
        <f ca="1">L49</f>
        <v>168500</v>
      </c>
      <c r="N49" s="49">
        <f ca="1">IFERROR(__xludf.DUMMYFUNCTION("IMPORTRANGE(""https://docs.google.com/spreadsheets/d/1Yj_ptqi66GCucihVvJfMjLAmec39IyEx_6qawtMGysU/edit?usp=sharing"",""สบก!S29"")"),168500)</f>
        <v>168500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564000</v>
      </c>
      <c r="M53" s="120">
        <f t="shared" ca="1" si="39"/>
        <v>300783</v>
      </c>
      <c r="N53" s="120">
        <f t="shared" ca="1" si="39"/>
        <v>278797</v>
      </c>
      <c r="O53" s="119">
        <f t="shared" ref="O53:O55" ca="1" si="40">IF(L53&gt;0,N53*100/L53,0)</f>
        <v>49.432092198581557</v>
      </c>
      <c r="P53" s="119">
        <f t="shared" ref="P53:P55" ca="1" si="41">IF(M53&gt;0,N53*100/M53,0)</f>
        <v>92.69041135968456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564000</v>
      </c>
      <c r="M55" s="120">
        <f t="shared" ca="1" si="43"/>
        <v>300783</v>
      </c>
      <c r="N55" s="120">
        <f t="shared" ca="1" si="43"/>
        <v>278797</v>
      </c>
      <c r="O55" s="119">
        <f t="shared" ca="1" si="40"/>
        <v>49.432092198581557</v>
      </c>
      <c r="P55" s="119">
        <f t="shared" ca="1" si="41"/>
        <v>92.69041135968456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564000</v>
      </c>
      <c r="M57" s="49">
        <f ca="1">IFERROR(__xludf.DUMMYFUNCTION("IMPORTRANGE(""https://docs.google.com/spreadsheets/d/1Yj_ptqi66GCucihVvJfMjLAmec39IyEx_6qawtMGysU/edit?usp=sharing"",""สบก!Z29"")"),300783)</f>
        <v>300783</v>
      </c>
      <c r="N57" s="49">
        <f ca="1">IFERROR(__xludf.DUMMYFUNCTION("IMPORTRANGE(""https://docs.google.com/spreadsheets/d/1Yj_ptqi66GCucihVvJfMjLAmec39IyEx_6qawtMGysU/edit?usp=sharing"",""สบก!AA29"")"),278797)</f>
        <v>278797</v>
      </c>
      <c r="O57" s="38">
        <f ca="1">IF(L57&gt;0,N57*100/L57,0)</f>
        <v>49.432092198581557</v>
      </c>
      <c r="P57" s="38">
        <f ca="1">IF(M57&gt;0,N57*100/M57,0)</f>
        <v>92.69041135968456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IFERROR(__xludf.DUMMYFUNCTION("IMPORTRANGE(""https://docs.google.com/spreadsheets/d/1Yj_ptqi66GCucihVvJfMjLAmec39IyEx_6qawtMGysU/edit?usp=sharing"",""สบก!V29"")"),564000)</f>
        <v>564000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IFERROR(__xludf.DUMMYFUNCTION("IMPORTRANGE(""https://docs.google.com/spreadsheets/d/1Yj_ptqi66GCucihVvJfMjLAmec39IyEx_6qawtMGysU/edit?usp=sharing"",""สบก!X29"")"),0)</f>
        <v>0</v>
      </c>
      <c r="M61" s="49"/>
      <c r="N61" s="49">
        <f ca="1">IFERROR(__xludf.DUMMYFUNCTION("IMPORTRANGE(""https://docs.google.com/spreadsheets/d/1Yj_ptqi66GCucihVvJfMjLAmec39IyEx_6qawtMGysU/edit?usp=sharing"",""สบก!AB29"")"),0)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IFERROR(__xludf.DUMMYFUNCTION("IMPORTRANGE(""https://docs.google.com/spreadsheets/d/11923uPwbBZFjjGgGUA6NLw09EwE0CqkOc4q9oUmW1yo/edit?usp=sharing"",""เพชรบูรณ์!I9"")"),1)</f>
        <v>1</v>
      </c>
      <c r="J64" s="141">
        <f ca="1">IFERROR(__xludf.DUMMYFUNCTION("IMPORTRANGE(""https://docs.google.com/spreadsheets/d/11923uPwbBZFjjGgGUA6NLw09EwE0CqkOc4q9oUmW1yo/edit?usp=sharing"",""เพชรบูรณ์!J9"")"),1)</f>
        <v>1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IFERROR(__xludf.DUMMYFUNCTION("IMPORTRANGE(""https://docs.google.com/spreadsheets/d/11923uPwbBZFjjGgGUA6NLw09EwE0CqkOc4q9oUmW1yo/edit?usp=sharing"",""เพชรบูรณ์!I10"")"),35)</f>
        <v>35</v>
      </c>
      <c r="J65" s="141">
        <f ca="1">IFERROR(__xludf.DUMMYFUNCTION("IMPORTRANGE(""https://docs.google.com/spreadsheets/d/11923uPwbBZFjjGgGUA6NLw09EwE0CqkOc4q9oUmW1yo/edit?usp=sharing"",""เพชรบูรณ์!J10"")"),35)</f>
        <v>35</v>
      </c>
      <c r="K65" s="142">
        <f t="shared" ca="1" si="44"/>
        <v>100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577500</v>
      </c>
      <c r="M66" s="151">
        <f t="shared" ca="1" si="45"/>
        <v>325420</v>
      </c>
      <c r="N66" s="151">
        <f t="shared" ca="1" si="45"/>
        <v>249493</v>
      </c>
      <c r="O66" s="150">
        <f t="shared" ref="O66:O68" ca="1" si="46">IF(L66&gt;0,N66*100/L66,0)</f>
        <v>43.202251082251081</v>
      </c>
      <c r="P66" s="150">
        <f t="shared" ref="P66:P68" ca="1" si="47">IF(M66&gt;0,N66*100/M66,0)</f>
        <v>76.667998279146943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577500</v>
      </c>
      <c r="M68" s="87">
        <f t="shared" ca="1" si="49"/>
        <v>325420</v>
      </c>
      <c r="N68" s="87">
        <f t="shared" ca="1" si="49"/>
        <v>249493</v>
      </c>
      <c r="O68" s="155">
        <f t="shared" ca="1" si="46"/>
        <v>43.202251082251081</v>
      </c>
      <c r="P68" s="155">
        <f t="shared" ca="1" si="47"/>
        <v>76.667998279146943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577500</v>
      </c>
      <c r="M70" s="167">
        <f ca="1">IFERROR(__xludf.DUMMYFUNCTION("IMPORTRANGE(""https://docs.google.com/spreadsheets/d/1Yj_ptqi66GCucihVvJfMjLAmec39IyEx_6qawtMGysU/edit?usp=sharing"",""สบก!AI29"")"),325420)</f>
        <v>325420</v>
      </c>
      <c r="N70" s="168">
        <f ca="1">IFERROR(__xludf.DUMMYFUNCTION("IMPORTRANGE(""https://docs.google.com/spreadsheets/d/1Yj_ptqi66GCucihVvJfMjLAmec39IyEx_6qawtMGysU/edit?usp=sharing"",""สบก!AJ29"")"),249493)</f>
        <v>249493</v>
      </c>
      <c r="O70" s="168">
        <f ca="1">IF(L70&gt;0,N70*100/L70,0)</f>
        <v>43.202251082251081</v>
      </c>
      <c r="P70" s="168">
        <f ca="1">IF(M70&gt;0,N70*100/M70,0)</f>
        <v>76.667998279146943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IFERROR(__xludf.DUMMYFUNCTION("IMPORTRANGE(""https://docs.google.com/spreadsheets/d/1Yj_ptqi66GCucihVvJfMjLAmec39IyEx_6qawtMGysU/edit?usp=sharing"",""สบก!AE29"")"),179500)</f>
        <v>179500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IFERROR(__xludf.DUMMYFUNCTION("IMPORTRANGE(""https://docs.google.com/spreadsheets/d/1Yj_ptqi66GCucihVvJfMjLAmec39IyEx_6qawtMGysU/edit?usp=sharing"",""สบก!AF29"")"),398000)</f>
        <v>398000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IFERROR(__xludf.DUMMYFUNCTION("IMPORTRANGE(""https://docs.google.com/spreadsheets/d/1Yj_ptqi66GCucihVvJfMjLAmec39IyEx_6qawtMGysU/edit?usp=sharing"",""สบก!AG29"")"),0)</f>
        <v>0</v>
      </c>
      <c r="M74" s="49"/>
      <c r="N74" s="49">
        <f ca="1">IFERROR(__xludf.DUMMYFUNCTION("IMPORTRANGE(""https://docs.google.com/spreadsheets/d/1Yj_ptqi66GCucihVvJfMjLAmec39IyEx_6qawtMGysU/edit?usp=sharing"",""สบก!AK29"")"),0)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IFERROR(__xludf.DUMMYFUNCTION("IMPORTRANGE(""https://docs.google.com/spreadsheets/d/11923uPwbBZFjjGgGUA6NLw09EwE0CqkOc4q9oUmW1yo/edit?usp=sharing"",""เพชรบูรณ์!J16"")"),0)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IFERROR(__xludf.DUMMYFUNCTION("IMPORTRANGE(""https://docs.google.com/spreadsheets/d/11923uPwbBZFjjGgGUA6NLw09EwE0CqkOc4q9oUmW1yo/edit?usp=sharing"",""เพชรบูรณ์!J17"")"),1)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IFERROR(__xludf.DUMMYFUNCTION("IMPORTRANGE(""https://docs.google.com/spreadsheets/d/11923uPwbBZFjjGgGUA6NLw09EwE0CqkOc4q9oUmW1yo/edit?usp=sharing"",""เพชรบูรณ์!J18"")"),1)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IFERROR(__xludf.DUMMYFUNCTION("IMPORTRANGE(""https://docs.google.com/spreadsheets/d/11923uPwbBZFjjGgGUA6NLw09EwE0CqkOc4q9oUmW1yo/edit?usp=sharing"",""เพชรบูรณ์!J19"")"),1)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IFERROR(__xludf.DUMMYFUNCTION("IMPORTRANGE(""https://docs.google.com/spreadsheets/d/11923uPwbBZFjjGgGUA6NLw09EwE0CqkOc4q9oUmW1yo/edit?usp=sharing"",""เพชรบูรณ์!I20"")"),1)</f>
        <v>1</v>
      </c>
      <c r="J80" s="200">
        <f ca="1">IFERROR(__xludf.DUMMYFUNCTION("IMPORTRANGE(""https://docs.google.com/spreadsheets/d/11923uPwbBZFjjGgGUA6NLw09EwE0CqkOc4q9oUmW1yo/edit?usp=sharing"",""เพชรบูรณ์!J20"")"),1)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IFERROR(__xludf.DUMMYFUNCTION("IMPORTRANGE(""https://docs.google.com/spreadsheets/d/11923uPwbBZFjjGgGUA6NLw09EwE0CqkOc4q9oUmW1yo/edit?usp=sharing"",""เพชรบูรณ์!I21"")"),35)</f>
        <v>35</v>
      </c>
      <c r="J81" s="200">
        <f ca="1">IFERROR(__xludf.DUMMYFUNCTION("IMPORTRANGE(""https://docs.google.com/spreadsheets/d/11923uPwbBZFjjGgGUA6NLw09EwE0CqkOc4q9oUmW1yo/edit?usp=sharing"",""เพชรบูรณ์!J21"")"),35)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IFERROR(__xludf.DUMMYFUNCTION("IMPORTRANGE(""https://docs.google.com/spreadsheets/d/11923uPwbBZFjjGgGUA6NLw09EwE0CqkOc4q9oUmW1yo/edit?usp=sharing"",""เพชรบูรณ์!I22"")"),0)</f>
        <v>0</v>
      </c>
      <c r="J82" s="203">
        <f ca="1">IFERROR(__xludf.DUMMYFUNCTION("IMPORTRANGE(""https://docs.google.com/spreadsheets/d/11923uPwbBZFjjGgGUA6NLw09EwE0CqkOc4q9oUmW1yo/edit?usp=sharing"",""เพชรบูรณ์!J22"")"),0)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IFERROR(__xludf.DUMMYFUNCTION("IMPORTRANGE(""https://docs.google.com/spreadsheets/d/11923uPwbBZFjjGgGUA6NLw09EwE0CqkOc4q9oUmW1yo/edit?usp=sharing"",""เพชรบูรณ์!I23"")"),0)</f>
        <v>0</v>
      </c>
      <c r="J83" s="203">
        <f ca="1">IFERROR(__xludf.DUMMYFUNCTION("IMPORTRANGE(""https://docs.google.com/spreadsheets/d/11923uPwbBZFjjGgGUA6NLw09EwE0CqkOc4q9oUmW1yo/edit?usp=sharing"",""เพชรบูรณ์!J23"")"),0)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IFERROR(__xludf.DUMMYFUNCTION("IMPORTRANGE(""https://docs.google.com/spreadsheets/d/11923uPwbBZFjjGgGUA6NLw09EwE0CqkOc4q9oUmW1yo/edit?usp=sharing"",""เพชรบูรณ์!I24"")"),1)</f>
        <v>1</v>
      </c>
      <c r="J84" s="188">
        <f ca="1">IFERROR(__xludf.DUMMYFUNCTION("IMPORTRANGE(""https://docs.google.com/spreadsheets/d/11923uPwbBZFjjGgGUA6NLw09EwE0CqkOc4q9oUmW1yo/edit?usp=sharing"",""เพชรบูรณ์!J24"")"),1)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IFERROR(__xludf.DUMMYFUNCTION("IMPORTRANGE(""https://docs.google.com/spreadsheets/d/11923uPwbBZFjjGgGUA6NLw09EwE0CqkOc4q9oUmW1yo/edit?usp=sharing"",""เพชรบูรณ์!I25"")"),35)</f>
        <v>35</v>
      </c>
      <c r="J85" s="188">
        <f ca="1">IFERROR(__xludf.DUMMYFUNCTION("IMPORTRANGE(""https://docs.google.com/spreadsheets/d/11923uPwbBZFjjGgGUA6NLw09EwE0CqkOc4q9oUmW1yo/edit?usp=sharing"",""เพชรบูรณ์!J25"")"),35)</f>
        <v>35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IFERROR(__xludf.DUMMYFUNCTION("IMPORTRANGE(""https://docs.google.com/spreadsheets/d/11923uPwbBZFjjGgGUA6NLw09EwE0CqkOc4q9oUmW1yo/edit?usp=sharing"",""เพชรบูรณ์!I26"")"),0)</f>
        <v>0</v>
      </c>
      <c r="J86" s="203">
        <f ca="1">IFERROR(__xludf.DUMMYFUNCTION("IMPORTRANGE(""https://docs.google.com/spreadsheets/d/11923uPwbBZFjjGgGUA6NLw09EwE0CqkOc4q9oUmW1yo/edit?usp=sharing"",""เพชรบูรณ์!J26"")"),0)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IFERROR(__xludf.DUMMYFUNCTION("IMPORTRANGE(""https://docs.google.com/spreadsheets/d/11923uPwbBZFjjGgGUA6NLw09EwE0CqkOc4q9oUmW1yo/edit?usp=sharing"",""เพชรบูรณ์!I27"")"),0)</f>
        <v>0</v>
      </c>
      <c r="J87" s="203">
        <f ca="1">IFERROR(__xludf.DUMMYFUNCTION("IMPORTRANGE(""https://docs.google.com/spreadsheets/d/11923uPwbBZFjjGgGUA6NLw09EwE0CqkOc4q9oUmW1yo/edit?usp=sharing"",""เพชรบูรณ์!J27"")"),0)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IFERROR(__xludf.DUMMYFUNCTION("IMPORTRANGE(""https://docs.google.com/spreadsheets/d/11923uPwbBZFjjGgGUA6NLw09EwE0CqkOc4q9oUmW1yo/edit?usp=sharing"",""เพชรบูรณ์!I28"")"),0)</f>
        <v>0</v>
      </c>
      <c r="J88" s="203">
        <f ca="1">IFERROR(__xludf.DUMMYFUNCTION("IMPORTRANGE(""https://docs.google.com/spreadsheets/d/11923uPwbBZFjjGgGUA6NLw09EwE0CqkOc4q9oUmW1yo/edit?usp=sharing"",""เพชรบูรณ์!J28"")"),0)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IFERROR(__xludf.DUMMYFUNCTION("IMPORTRANGE(""https://docs.google.com/spreadsheets/d/11923uPwbBZFjjGgGUA6NLw09EwE0CqkOc4q9oUmW1yo/edit?usp=sharing"",""เพชรบูรณ์!J29"")"),0)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IFERROR(__xludf.DUMMYFUNCTION("IMPORTRANGE(""https://docs.google.com/spreadsheets/d/11923uPwbBZFjjGgGUA6NLw09EwE0CqkOc4q9oUmW1yo/edit?usp=sharing"",""เพชรบูรณ์!J30"")"),0)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IFERROR(__xludf.DUMMYFUNCTION("IMPORTRANGE(""https://docs.google.com/spreadsheets/d/11923uPwbBZFjjGgGUA6NLw09EwE0CqkOc4q9oUmW1yo/edit?usp=sharing"",""เพชรบูรณ์!I32"")"),0)</f>
        <v>0</v>
      </c>
      <c r="J92" s="141">
        <f ca="1">IFERROR(__xludf.DUMMYFUNCTION("IMPORTRANGE(""https://docs.google.com/spreadsheets/d/11923uPwbBZFjjGgGUA6NLw09EwE0CqkOc4q9oUmW1yo/edit?usp=sharing"",""เพชรบูรณ์!J32"")"),0)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IFERROR(__xludf.DUMMYFUNCTION("IMPORTRANGE(""https://docs.google.com/spreadsheets/d/11923uPwbBZFjjGgGUA6NLw09EwE0CqkOc4q9oUmW1yo/edit?usp=sharing"",""เพชรบูรณ์!I33"")"),0)</f>
        <v>0</v>
      </c>
      <c r="J93" s="141">
        <f ca="1">IFERROR(__xludf.DUMMYFUNCTION("IMPORTRANGE(""https://docs.google.com/spreadsheets/d/11923uPwbBZFjjGgGUA6NLw09EwE0CqkOc4q9oUmW1yo/edit?usp=sharing"",""เพชรบูรณ์!J33"")"),0)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0</v>
      </c>
      <c r="M94" s="151">
        <f t="shared" ca="1" si="52"/>
        <v>0</v>
      </c>
      <c r="N94" s="151">
        <f t="shared" ca="1" si="52"/>
        <v>0</v>
      </c>
      <c r="O94" s="150">
        <f t="shared" ref="O94:O96" ca="1" si="53">IF(L94&gt;0,N94*100/L94,0)</f>
        <v>0</v>
      </c>
      <c r="P94" s="150">
        <f t="shared" ref="P94:P96" ca="1" si="54">IF(M94&gt;0,N94*100/M94,0)</f>
        <v>0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0</v>
      </c>
      <c r="M96" s="87">
        <f t="shared" ca="1" si="56"/>
        <v>0</v>
      </c>
      <c r="N96" s="87">
        <f t="shared" ca="1" si="56"/>
        <v>0</v>
      </c>
      <c r="O96" s="155">
        <f t="shared" ca="1" si="53"/>
        <v>0</v>
      </c>
      <c r="P96" s="155">
        <f t="shared" ca="1" si="54"/>
        <v>0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IFERROR(__xludf.DUMMYFUNCTION("IMPORTRANGE(""https://docs.google.com/spreadsheets/d/1Yj_ptqi66GCucihVvJfMjLAmec39IyEx_6qawtMGysU/edit?usp=sharing"",""สบก!AR29"")"),0)</f>
        <v>0</v>
      </c>
      <c r="N98" s="168">
        <f ca="1">IFERROR(__xludf.DUMMYFUNCTION("IMPORTRANGE(""https://docs.google.com/spreadsheets/d/1Yj_ptqi66GCucihVvJfMjLAmec39IyEx_6qawtMGysU/edit?usp=sharing"",""สบก!AS29"")"),0)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IFERROR(__xludf.DUMMYFUNCTION("IMPORTRANGE(""https://docs.google.com/spreadsheets/d/1Yj_ptqi66GCucihVvJfMjLAmec39IyEx_6qawtMGysU/edit?usp=sharing"",""สบก!AN29"")"),0)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IFERROR(__xludf.DUMMYFUNCTION("IMPORTRANGE(""https://docs.google.com/spreadsheets/d/1Yj_ptqi66GCucihVvJfMjLAmec39IyEx_6qawtMGysU/edit?usp=sharing"",""สบก!AO29"")"),0)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IFERROR(__xludf.DUMMYFUNCTION("IMPORTRANGE(""https://docs.google.com/spreadsheets/d/1Yj_ptqi66GCucihVvJfMjLAmec39IyEx_6qawtMGysU/edit?usp=sharing"",""สบก!AP29"")"),0)</f>
        <v>0</v>
      </c>
      <c r="M102" s="49"/>
      <c r="N102" s="49">
        <f ca="1">IFERROR(__xludf.DUMMYFUNCTION("IMPORTRANGE(""https://docs.google.com/spreadsheets/d/1Yj_ptqi66GCucihVvJfMjLAmec39IyEx_6qawtMGysU/edit?usp=sharing"",""สบก!AT29"")"),0)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IFERROR(__xludf.DUMMYFUNCTION("IMPORTRANGE(""https://docs.google.com/spreadsheets/d/11923uPwbBZFjjGgGUA6NLw09EwE0CqkOc4q9oUmW1yo/edit?usp=sharing"",""เพชรบูรณ์!J39"")"),0)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IFERROR(__xludf.DUMMYFUNCTION("IMPORTRANGE(""https://docs.google.com/spreadsheets/d/11923uPwbBZFjjGgGUA6NLw09EwE0CqkOc4q9oUmW1yo/edit?usp=sharing"",""เพชรบูรณ์!J40"")"),0)</f>
        <v>0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IFERROR(__xludf.DUMMYFUNCTION("IMPORTRANGE(""https://docs.google.com/spreadsheets/d/11923uPwbBZFjjGgGUA6NLw09EwE0CqkOc4q9oUmW1yo/edit?usp=sharing"",""เพชรบูรณ์!J41"")"),0)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IFERROR(__xludf.DUMMYFUNCTION("IMPORTRANGE(""https://docs.google.com/spreadsheets/d/11923uPwbBZFjjGgGUA6NLw09EwE0CqkOc4q9oUmW1yo/edit?usp=sharing"",""เพชรบูรณ์!J42"")"),0)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IFERROR(__xludf.DUMMYFUNCTION("IMPORTRANGE(""https://docs.google.com/spreadsheets/d/11923uPwbBZFjjGgGUA6NLw09EwE0CqkOc4q9oUmW1yo/edit?usp=sharing"",""เพชรบูรณ์!I43"")"),0)</f>
        <v>0</v>
      </c>
      <c r="J108" s="203">
        <f ca="1">IFERROR(__xludf.DUMMYFUNCTION("IMPORTRANGE(""https://docs.google.com/spreadsheets/d/11923uPwbBZFjjGgGUA6NLw09EwE0CqkOc4q9oUmW1yo/edit?usp=sharing"",""เพชรบูรณ์!J43"")"),0)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IFERROR(__xludf.DUMMYFUNCTION("IMPORTRANGE(""https://docs.google.com/spreadsheets/d/11923uPwbBZFjjGgGUA6NLw09EwE0CqkOc4q9oUmW1yo/edit?usp=sharing"",""เพชรบูรณ์!I44"")"),0)</f>
        <v>0</v>
      </c>
      <c r="J109" s="203">
        <f ca="1">IFERROR(__xludf.DUMMYFUNCTION("IMPORTRANGE(""https://docs.google.com/spreadsheets/d/11923uPwbBZFjjGgGUA6NLw09EwE0CqkOc4q9oUmW1yo/edit?usp=sharing"",""เพชรบูรณ์!J44"")"),0)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IFERROR(__xludf.DUMMYFUNCTION("IMPORTRANGE(""https://docs.google.com/spreadsheets/d/11923uPwbBZFjjGgGUA6NLw09EwE0CqkOc4q9oUmW1yo/edit?usp=sharing"",""เพชรบูรณ์!I45"")"),0)</f>
        <v>0</v>
      </c>
      <c r="J110" s="203">
        <f ca="1">IFERROR(__xludf.DUMMYFUNCTION("IMPORTRANGE(""https://docs.google.com/spreadsheets/d/11923uPwbBZFjjGgGUA6NLw09EwE0CqkOc4q9oUmW1yo/edit?usp=sharing"",""เพชรบูรณ์!J45"")"),0)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IFERROR(__xludf.DUMMYFUNCTION("IMPORTRANGE(""https://docs.google.com/spreadsheets/d/11923uPwbBZFjjGgGUA6NLw09EwE0CqkOc4q9oUmW1yo/edit?usp=sharing"",""เพชรบูรณ์!I46"")"),0)</f>
        <v>0</v>
      </c>
      <c r="J111" s="203">
        <f ca="1">IFERROR(__xludf.DUMMYFUNCTION("IMPORTRANGE(""https://docs.google.com/spreadsheets/d/11923uPwbBZFjjGgGUA6NLw09EwE0CqkOc4q9oUmW1yo/edit?usp=sharing"",""เพชรบูรณ์!J46"")"),0)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IFERROR(__xludf.DUMMYFUNCTION("IMPORTRANGE(""https://docs.google.com/spreadsheets/d/11923uPwbBZFjjGgGUA6NLw09EwE0CqkOc4q9oUmW1yo/edit?usp=sharing"",""เพชรบูรณ์!I47"")"),0)</f>
        <v>0</v>
      </c>
      <c r="J112" s="203">
        <f ca="1">IFERROR(__xludf.DUMMYFUNCTION("IMPORTRANGE(""https://docs.google.com/spreadsheets/d/11923uPwbBZFjjGgGUA6NLw09EwE0CqkOc4q9oUmW1yo/edit?usp=sharing"",""เพชรบูรณ์!J47"")"),0)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IFERROR(__xludf.DUMMYFUNCTION("IMPORTRANGE(""https://docs.google.com/spreadsheets/d/11923uPwbBZFjjGgGUA6NLw09EwE0CqkOc4q9oUmW1yo/edit?usp=sharing"",""เพชรบูรณ์!I48"")"),0)</f>
        <v>0</v>
      </c>
      <c r="J113" s="203">
        <f ca="1">IFERROR(__xludf.DUMMYFUNCTION("IMPORTRANGE(""https://docs.google.com/spreadsheets/d/11923uPwbBZFjjGgGUA6NLw09EwE0CqkOc4q9oUmW1yo/edit?usp=sharing"",""เพชรบูรณ์!J48"")"),0)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IFERROR(__xludf.DUMMYFUNCTION("IMPORTRANGE(""https://docs.google.com/spreadsheets/d/11923uPwbBZFjjGgGUA6NLw09EwE0CqkOc4q9oUmW1yo/edit?usp=sharing"",""เพชรบูรณ์!J49"")"),0)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IFERROR(__xludf.DUMMYFUNCTION("IMPORTRANGE(""https://docs.google.com/spreadsheets/d/11923uPwbBZFjjGgGUA6NLw09EwE0CqkOc4q9oUmW1yo/edit?usp=sharing"",""เพชรบูรณ์!J50"")"),0)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IFERROR(__xludf.DUMMYFUNCTION("IMPORTRANGE(""https://docs.google.com/spreadsheets/d/11923uPwbBZFjjGgGUA6NLw09EwE0CqkOc4q9oUmW1yo/edit?usp=sharing"",""เพชรบูรณ์!I52"")"),20)</f>
        <v>20</v>
      </c>
      <c r="J117" s="141">
        <f ca="1">IFERROR(__xludf.DUMMYFUNCTION("IMPORTRANGE(""https://docs.google.com/spreadsheets/d/11923uPwbBZFjjGgGUA6NLw09EwE0CqkOc4q9oUmW1yo/edit?usp=sharing"",""เพชรบูรณ์!J52"")"),20)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60510</v>
      </c>
      <c r="O118" s="150">
        <f t="shared" ref="O118:O120" ca="1" si="59">IF(L118&gt;0,N118*100/L118,0)</f>
        <v>73.398835516739453</v>
      </c>
      <c r="P118" s="150">
        <f t="shared" ref="P118:P120" ca="1" si="60">IF(M118&gt;0,N118*100/M118,0)</f>
        <v>91.074653822998201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60510</v>
      </c>
      <c r="O120" s="155">
        <f t="shared" ca="1" si="59"/>
        <v>73.398835516739453</v>
      </c>
      <c r="P120" s="155">
        <f t="shared" ca="1" si="60"/>
        <v>91.074653822998201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IFERROR(__xludf.DUMMYFUNCTION("IMPORTRANGE(""https://docs.google.com/spreadsheets/d/1Yj_ptqi66GCucihVvJfMjLAmec39IyEx_6qawtMGysU/edit?usp=sharing"",""สบก!BA29"")"),66440)</f>
        <v>66440</v>
      </c>
      <c r="N122" s="168">
        <f ca="1">IFERROR(__xludf.DUMMYFUNCTION("IMPORTRANGE(""https://docs.google.com/spreadsheets/d/1Yj_ptqi66GCucihVvJfMjLAmec39IyEx_6qawtMGysU/edit?usp=sharing"",""สบก!BB29"")"),60510)</f>
        <v>60510</v>
      </c>
      <c r="O122" s="168">
        <f ca="1">IF(L122&gt;0,N122*100/L122,0)</f>
        <v>73.398835516739453</v>
      </c>
      <c r="P122" s="168">
        <f ca="1">IF(M122&gt;0,N122*100/M122,0)</f>
        <v>91.074653822998201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IFERROR(__xludf.DUMMYFUNCTION("IMPORTRANGE(""https://docs.google.com/spreadsheets/d/1Yj_ptqi66GCucihVvJfMjLAmec39IyEx_6qawtMGysU/edit?usp=sharing"",""สบก!AW29"")"),0)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IFERROR(__xludf.DUMMYFUNCTION("IMPORTRANGE(""https://docs.google.com/spreadsheets/d/1Yj_ptqi66GCucihVvJfMjLAmec39IyEx_6qawtMGysU/edit?usp=sharing"",""สบก!AX29"")"),82440)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IFERROR(__xludf.DUMMYFUNCTION("IMPORTRANGE(""https://docs.google.com/spreadsheets/d/1Yj_ptqi66GCucihVvJfMjLAmec39IyEx_6qawtMGysU/edit?usp=sharing"",""สบก!AY29"")"),0)</f>
        <v>0</v>
      </c>
      <c r="M126" s="49"/>
      <c r="N126" s="49">
        <f ca="1">IFERROR(__xludf.DUMMYFUNCTION("IMPORTRANGE(""https://docs.google.com/spreadsheets/d/1Yj_ptqi66GCucihVvJfMjLAmec39IyEx_6qawtMGysU/edit?usp=sharing"",""สบก!BC29"")"),0)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257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IFERROR(__xludf.DUMMYFUNCTION("IMPORTRANGE(""https://docs.google.com/spreadsheets/d/11923uPwbBZFjjGgGUA6NLw09EwE0CqkOc4q9oUmW1yo/edit?usp=sharing"",""เพชรบูรณ์!J58"")"),0)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IFERROR(__xludf.DUMMYFUNCTION("IMPORTRANGE(""https://docs.google.com/spreadsheets/d/11923uPwbBZFjjGgGUA6NLw09EwE0CqkOc4q9oUmW1yo/edit?usp=sharing"",""เพชรบูรณ์!J59"")"),1)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IFERROR(__xludf.DUMMYFUNCTION("IMPORTRANGE(""https://docs.google.com/spreadsheets/d/11923uPwbBZFjjGgGUA6NLw09EwE0CqkOc4q9oUmW1yo/edit?usp=sharing"",""เพชรบูรณ์!J60"")"),1)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IFERROR(__xludf.DUMMYFUNCTION("IMPORTRANGE(""https://docs.google.com/spreadsheets/d/11923uPwbBZFjjGgGUA6NLw09EwE0CqkOc4q9oUmW1yo/edit?usp=sharing"",""เพชรบูรณ์!J61"")"),0)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IFERROR(__xludf.DUMMYFUNCTION("IMPORTRANGE(""https://docs.google.com/spreadsheets/d/11923uPwbBZFjjGgGUA6NLw09EwE0CqkOc4q9oUmW1yo/edit?usp=sharing"",""เพชรบูรณ์!I62"")"),20)</f>
        <v>20</v>
      </c>
      <c r="J132" s="203">
        <f ca="1">IFERROR(__xludf.DUMMYFUNCTION("IMPORTRANGE(""https://docs.google.com/spreadsheets/d/11923uPwbBZFjjGgGUA6NLw09EwE0CqkOc4q9oUmW1yo/edit?usp=sharing"",""เพชรบูรณ์!J62"")"),20)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IFERROR(__xludf.DUMMYFUNCTION("IMPORTRANGE(""https://docs.google.com/spreadsheets/d/11923uPwbBZFjjGgGUA6NLw09EwE0CqkOc4q9oUmW1yo/edit?usp=sharing"",""เพชรบูรณ์!I63"")"),20)</f>
        <v>20</v>
      </c>
      <c r="J133" s="203">
        <f ca="1">IFERROR(__xludf.DUMMYFUNCTION("IMPORTRANGE(""https://docs.google.com/spreadsheets/d/11923uPwbBZFjjGgGUA6NLw09EwE0CqkOc4q9oUmW1yo/edit?usp=sharing"",""เพชรบูรณ์!J63"")"),20)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IFERROR(__xludf.DUMMYFUNCTION("IMPORTRANGE(""https://docs.google.com/spreadsheets/d/11923uPwbBZFjjGgGUA6NLw09EwE0CqkOc4q9oUmW1yo/edit?usp=sharing"",""เพชรบูรณ์!J64"")"),0)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IFERROR(__xludf.DUMMYFUNCTION("IMPORTRANGE(""https://docs.google.com/spreadsheets/d/11923uPwbBZFjjGgGUA6NLw09EwE0CqkOc4q9oUmW1yo/edit?usp=sharing"",""เพชรบูรณ์!J65"")"),0)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IFERROR(__xludf.DUMMYFUNCTION("IMPORTRANGE(""https://docs.google.com/spreadsheets/d/11923uPwbBZFjjGgGUA6NLw09EwE0CqkOc4q9oUmW1yo/edit?usp=sharing"",""เพชรบูรณ์!I68"")"),15)</f>
        <v>15</v>
      </c>
      <c r="J138" s="266">
        <f ca="1">IFERROR(__xludf.DUMMYFUNCTION("IMPORTRANGE(""https://docs.google.com/spreadsheets/d/11923uPwbBZFjjGgGUA6NLw09EwE0CqkOc4q9oUmW1yo/edit?usp=sharing"",""เพชรบูรณ์!J68"")"),15)</f>
        <v>15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254700</v>
      </c>
      <c r="M140" s="151">
        <f t="shared" ca="1" si="64"/>
        <v>140750</v>
      </c>
      <c r="N140" s="151">
        <f t="shared" ca="1" si="64"/>
        <v>103735</v>
      </c>
      <c r="O140" s="150">
        <f t="shared" ref="O140:O142" ca="1" si="65">IF(L140&gt;0,N140*100/L140,0)</f>
        <v>40.728307813113467</v>
      </c>
      <c r="P140" s="150">
        <f t="shared" ref="P140:P142" ca="1" si="66">IF(M140&gt;0,N140*100/M140,0)</f>
        <v>73.701598579040848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254700</v>
      </c>
      <c r="M142" s="87">
        <f t="shared" ca="1" si="68"/>
        <v>140750</v>
      </c>
      <c r="N142" s="87">
        <f t="shared" ca="1" si="68"/>
        <v>103735</v>
      </c>
      <c r="O142" s="155">
        <f t="shared" ca="1" si="65"/>
        <v>40.728307813113467</v>
      </c>
      <c r="P142" s="155">
        <f t="shared" ca="1" si="66"/>
        <v>73.701598579040848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254700</v>
      </c>
      <c r="M144" s="167">
        <f ca="1">IFERROR(__xludf.DUMMYFUNCTION("IMPORTRANGE(""https://docs.google.com/spreadsheets/d/1Yj_ptqi66GCucihVvJfMjLAmec39IyEx_6qawtMGysU/edit?usp=sharing"",""สบก!BJ29"")"),140750)</f>
        <v>140750</v>
      </c>
      <c r="N144" s="168">
        <f ca="1">IFERROR(__xludf.DUMMYFUNCTION("IMPORTRANGE(""https://docs.google.com/spreadsheets/d/1Yj_ptqi66GCucihVvJfMjLAmec39IyEx_6qawtMGysU/edit?usp=sharing"",""สบก!BK29"")"),103735)</f>
        <v>103735</v>
      </c>
      <c r="O144" s="168">
        <f ca="1">IF(L144&gt;0,N144*100/L144,0)</f>
        <v>40.728307813113467</v>
      </c>
      <c r="P144" s="168">
        <f ca="1">IF(M144&gt;0,N144*100/M144,0)</f>
        <v>73.701598579040848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IFERROR(__xludf.DUMMYFUNCTION("IMPORTRANGE(""https://docs.google.com/spreadsheets/d/1Yj_ptqi66GCucihVvJfMjLAmec39IyEx_6qawtMGysU/edit?usp=sharing"",""สบก!BF29"")"),132000)</f>
        <v>132000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IFERROR(__xludf.DUMMYFUNCTION("IMPORTRANGE(""https://docs.google.com/spreadsheets/d/1Yj_ptqi66GCucihVvJfMjLAmec39IyEx_6qawtMGysU/edit?usp=sharing"",""สบก!BG29"")"),122700)</f>
        <v>122700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IFERROR(__xludf.DUMMYFUNCTION("IMPORTRANGE(""https://docs.google.com/spreadsheets/d/1Yj_ptqi66GCucihVvJfMjLAmec39IyEx_6qawtMGysU/edit?usp=sharing"",""สบก!BH29"")"),0)</f>
        <v>0</v>
      </c>
      <c r="M148" s="49"/>
      <c r="N148" s="49">
        <f ca="1">IFERROR(__xludf.DUMMYFUNCTION("IMPORTRANGE(""https://docs.google.com/spreadsheets/d/1Yj_ptqi66GCucihVvJfMjLAmec39IyEx_6qawtMGysU/edit?usp=sharing"",""สบก!BL29"")"),0)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IFERROR(__xludf.DUMMYFUNCTION("IMPORTRANGE(""https://docs.google.com/spreadsheets/d/11923uPwbBZFjjGgGUA6NLw09EwE0CqkOc4q9oUmW1yo/edit?usp=sharing"",""เพชรบูรณ์!I74"")"),4)</f>
        <v>4</v>
      </c>
      <c r="J149" s="274">
        <f ca="1">IFERROR(__xludf.DUMMYFUNCTION("IMPORTRANGE(""https://docs.google.com/spreadsheets/d/11923uPwbBZFjjGgGUA6NLw09EwE0CqkOc4q9oUmW1yo/edit?usp=sharing"",""เพชรบูรณ์!J74"")"),2)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IFERROR(__xludf.DUMMYFUNCTION("IMPORTRANGE(""https://docs.google.com/spreadsheets/d/11923uPwbBZFjjGgGUA6NLw09EwE0CqkOc4q9oUmW1yo/edit?usp=sharing"",""เพชรบูรณ์!J79"")"),0)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IFERROR(__xludf.DUMMYFUNCTION("IMPORTRANGE(""https://docs.google.com/spreadsheets/d/11923uPwbBZFjjGgGUA6NLw09EwE0CqkOc4q9oUmW1yo/edit?usp=sharing"",""เพชรบูรณ์!J80"")"),1)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IFERROR(__xludf.DUMMYFUNCTION("IMPORTRANGE(""https://docs.google.com/spreadsheets/d/11923uPwbBZFjjGgGUA6NLw09EwE0CqkOc4q9oUmW1yo/edit?usp=sharing"",""เพชรบูรณ์!J81"")"),1)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IFERROR(__xludf.DUMMYFUNCTION("IMPORTRANGE(""https://docs.google.com/spreadsheets/d/11923uPwbBZFjjGgGUA6NLw09EwE0CqkOc4q9oUmW1yo/edit?usp=sharing"",""เพชรบูรณ์!J82"")"),1)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IFERROR(__xludf.DUMMYFUNCTION("IMPORTRANGE(""https://docs.google.com/spreadsheets/d/11923uPwbBZFjjGgGUA6NLw09EwE0CqkOc4q9oUmW1yo/edit?usp=sharing"",""เพชรบูรณ์!I83"")"),4)</f>
        <v>4</v>
      </c>
      <c r="J158" s="188">
        <f ca="1">IFERROR(__xludf.DUMMYFUNCTION("IMPORTRANGE(""https://docs.google.com/spreadsheets/d/11923uPwbBZFjjGgGUA6NLw09EwE0CqkOc4q9oUmW1yo/edit?usp=sharing"",""เพชรบูรณ์!J83"")"),2)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IFERROR(__xludf.DUMMYFUNCTION("IMPORTRANGE(""https://docs.google.com/spreadsheets/d/11923uPwbBZFjjGgGUA6NLw09EwE0CqkOc4q9oUmW1yo/edit?usp=sharing"",""เพชรบูรณ์!J84"")"),123)</f>
        <v>123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IFERROR(__xludf.DUMMYFUNCTION("IMPORTRANGE(""https://docs.google.com/spreadsheets/d/11923uPwbBZFjjGgGUA6NLw09EwE0CqkOc4q9oUmW1yo/edit?usp=sharing"",""เพชรบูรณ์!J85"")"),123)</f>
        <v>123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IFERROR(__xludf.DUMMYFUNCTION("IMPORTRANGE(""https://docs.google.com/spreadsheets/d/11923uPwbBZFjjGgGUA6NLw09EwE0CqkOc4q9oUmW1yo/edit?usp=sharing"",""เพชรบูรณ์!J86"")"),0)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IFERROR(__xludf.DUMMYFUNCTION("IMPORTRANGE(""https://docs.google.com/spreadsheets/d/11923uPwbBZFjjGgGUA6NLw09EwE0CqkOc4q9oUmW1yo/edit?usp=sharing"",""เพชรบูรณ์!J87"")"),0)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IFERROR(__xludf.DUMMYFUNCTION("IMPORTRANGE(""https://docs.google.com/spreadsheets/d/11923uPwbBZFjjGgGUA6NLw09EwE0CqkOc4q9oUmW1yo/edit?usp=sharing"",""เพชรบูรณ์!J88"")"),0)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IFERROR(__xludf.DUMMYFUNCTION("IMPORTRANGE(""https://docs.google.com/spreadsheets/d/11923uPwbBZFjjGgGUA6NLw09EwE0CqkOc4q9oUmW1yo/edit?usp=sharing"",""เพชรบูรณ์!I89"")"),2)</f>
        <v>2</v>
      </c>
      <c r="J164" s="282">
        <f ca="1">IFERROR(__xludf.DUMMYFUNCTION("IMPORTRANGE(""https://docs.google.com/spreadsheets/d/11923uPwbBZFjjGgGUA6NLw09EwE0CqkOc4q9oUmW1yo/edit?usp=sharing"",""เพชรบูรณ์!J89"")"),1)</f>
        <v>1</v>
      </c>
      <c r="K164" s="283">
        <f ca="1">IF(I164&gt;0,J164*100/I164,0)</f>
        <v>50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IFERROR(__xludf.DUMMYFUNCTION("IMPORTRANGE(""https://docs.google.com/spreadsheets/d/11923uPwbBZFjjGgGUA6NLw09EwE0CqkOc4q9oUmW1yo/edit?usp=sharing"",""เพชรบูรณ์!J94"")"),0)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IFERROR(__xludf.DUMMYFUNCTION("IMPORTRANGE(""https://docs.google.com/spreadsheets/d/11923uPwbBZFjjGgGUA6NLw09EwE0CqkOc4q9oUmW1yo/edit?usp=sharing"",""เพชรบูรณ์!J95"")"),1)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IFERROR(__xludf.DUMMYFUNCTION("IMPORTRANGE(""https://docs.google.com/spreadsheets/d/11923uPwbBZFjjGgGUA6NLw09EwE0CqkOc4q9oUmW1yo/edit?usp=sharing"",""เพชรบูรณ์!J96"")"),0)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IFERROR(__xludf.DUMMYFUNCTION("IMPORTRANGE(""https://docs.google.com/spreadsheets/d/11923uPwbBZFjjGgGUA6NLw09EwE0CqkOc4q9oUmW1yo/edit?usp=sharing"",""เพชรบูรณ์!J97"")"),0)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IFERROR(__xludf.DUMMYFUNCTION("IMPORTRANGE(""https://docs.google.com/spreadsheets/d/11923uPwbBZFjjGgGUA6NLw09EwE0CqkOc4q9oUmW1yo/edit?usp=sharing"",""เพชรบูรณ์!I98"")"),2)</f>
        <v>2</v>
      </c>
      <c r="J173" s="188">
        <f ca="1">IFERROR(__xludf.DUMMYFUNCTION("IMPORTRANGE(""https://docs.google.com/spreadsheets/d/11923uPwbBZFjjGgGUA6NLw09EwE0CqkOc4q9oUmW1yo/edit?usp=sharing"",""เพชรบูรณ์!J98"")"),1)</f>
        <v>1</v>
      </c>
      <c r="K173" s="163">
        <f ca="1">IF(I173&gt;0,J173*100/I173,0)</f>
        <v>50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IFERROR(__xludf.DUMMYFUNCTION("IMPORTRANGE(""https://docs.google.com/spreadsheets/d/11923uPwbBZFjjGgGUA6NLw09EwE0CqkOc4q9oUmW1yo/edit?usp=sharing"",""เพชรบูรณ์!J99"")"),0)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IFERROR(__xludf.DUMMYFUNCTION("IMPORTRANGE(""https://docs.google.com/spreadsheets/d/11923uPwbBZFjjGgGUA6NLw09EwE0CqkOc4q9oUmW1yo/edit?usp=sharing"",""เพชรบูรณ์!J100"")"),0)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IFERROR(__xludf.DUMMYFUNCTION("IMPORTRANGE(""https://docs.google.com/spreadsheets/d/11923uPwbBZFjjGgGUA6NLw09EwE0CqkOc4q9oUmW1yo/edit?usp=sharing"",""เพชรบูรณ์!I101"")"),2)</f>
        <v>2</v>
      </c>
      <c r="J176" s="282">
        <f ca="1">IFERROR(__xludf.DUMMYFUNCTION("IMPORTRANGE(""https://docs.google.com/spreadsheets/d/11923uPwbBZFjjGgGUA6NLw09EwE0CqkOc4q9oUmW1yo/edit?usp=sharing"",""เพชรบูรณ์!J101"")"),1)</f>
        <v>1</v>
      </c>
      <c r="K176" s="283">
        <f ca="1">IF(I176&gt;0,J176*100/I176,0)</f>
        <v>50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IFERROR(__xludf.DUMMYFUNCTION("IMPORTRANGE(""https://docs.google.com/spreadsheets/d/11923uPwbBZFjjGgGUA6NLw09EwE0CqkOc4q9oUmW1yo/edit?usp=sharing"",""เพชรบูรณ์!J106"")"),0)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IFERROR(__xludf.DUMMYFUNCTION("IMPORTRANGE(""https://docs.google.com/spreadsheets/d/11923uPwbBZFjjGgGUA6NLw09EwE0CqkOc4q9oUmW1yo/edit?usp=sharing"",""เพชรบูรณ์!J107"")"),1)</f>
        <v>1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IFERROR(__xludf.DUMMYFUNCTION("IMPORTRANGE(""https://docs.google.com/spreadsheets/d/11923uPwbBZFjjGgGUA6NLw09EwE0CqkOc4q9oUmW1yo/edit?usp=sharing"",""เพชรบูรณ์!J108"")"),0)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IFERROR(__xludf.DUMMYFUNCTION("IMPORTRANGE(""https://docs.google.com/spreadsheets/d/11923uPwbBZFjjGgGUA6NLw09EwE0CqkOc4q9oUmW1yo/edit?usp=sharing"",""เพชรบูรณ์!J109"")"),0)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IFERROR(__xludf.DUMMYFUNCTION("IMPORTRANGE(""https://docs.google.com/spreadsheets/d/11923uPwbBZFjjGgGUA6NLw09EwE0CqkOc4q9oUmW1yo/edit?usp=sharing"",""เพชรบูรณ์!I110"")"),2)</f>
        <v>2</v>
      </c>
      <c r="J185" s="203">
        <f ca="1">IFERROR(__xludf.DUMMYFUNCTION("IMPORTRANGE(""https://docs.google.com/spreadsheets/d/11923uPwbBZFjjGgGUA6NLw09EwE0CqkOc4q9oUmW1yo/edit?usp=sharing"",""เพชรบูรณ์!J110"")"),1)</f>
        <v>1</v>
      </c>
      <c r="K185" s="223">
        <f t="shared" ref="K185:K186" ca="1" si="69">IF(I185&gt;0,J185*100/I185,0)</f>
        <v>50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IFERROR(__xludf.DUMMYFUNCTION("IMPORTRANGE(""https://docs.google.com/spreadsheets/d/11923uPwbBZFjjGgGUA6NLw09EwE0CqkOc4q9oUmW1yo/edit?usp=sharing"",""เพชรบูรณ์!I111"")"),2)</f>
        <v>2</v>
      </c>
      <c r="J186" s="203">
        <f ca="1">IFERROR(__xludf.DUMMYFUNCTION("IMPORTRANGE(""https://docs.google.com/spreadsheets/d/11923uPwbBZFjjGgGUA6NLw09EwE0CqkOc4q9oUmW1yo/edit?usp=sharing"",""เพชรบูรณ์!J111"")"),1)</f>
        <v>1</v>
      </c>
      <c r="K186" s="223">
        <f t="shared" ca="1" si="69"/>
        <v>50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IFERROR(__xludf.DUMMYFUNCTION("IMPORTRANGE(""https://docs.google.com/spreadsheets/d/11923uPwbBZFjjGgGUA6NLw09EwE0CqkOc4q9oUmW1yo/edit?usp=sharing"",""เพชรบูรณ์!J112"")"),0)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IFERROR(__xludf.DUMMYFUNCTION("IMPORTRANGE(""https://docs.google.com/spreadsheets/d/11923uPwbBZFjjGgGUA6NLw09EwE0CqkOc4q9oUmW1yo/edit?usp=sharing"",""เพชรบูรณ์!J113"")"),0)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IFERROR(__xludf.DUMMYFUNCTION("IMPORTRANGE(""https://docs.google.com/spreadsheets/d/11923uPwbBZFjjGgGUA6NLw09EwE0CqkOc4q9oUmW1yo/edit?usp=sharing"",""เพชรบูรณ์!I114"")"),128000)</f>
        <v>128000</v>
      </c>
      <c r="J189" s="282">
        <f ca="1">IFERROR(__xludf.DUMMYFUNCTION("IMPORTRANGE(""https://docs.google.com/spreadsheets/d/11923uPwbBZFjjGgGUA6NLw09EwE0CqkOc4q9oUmW1yo/edit?usp=sharing"",""เพชรบูรณ์!J114"")"),0)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IFERROR(__xludf.DUMMYFUNCTION("IMPORTRANGE(""https://docs.google.com/spreadsheets/d/11923uPwbBZFjjGgGUA6NLw09EwE0CqkOc4q9oUmW1yo/edit?usp=sharing"",""เพชรบูรณ์!J119"")"),0)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IFERROR(__xludf.DUMMYFUNCTION("IMPORTRANGE(""https://docs.google.com/spreadsheets/d/11923uPwbBZFjjGgGUA6NLw09EwE0CqkOc4q9oUmW1yo/edit?usp=sharing"",""เพชรบูรณ์!J120"")"),1)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IFERROR(__xludf.DUMMYFUNCTION("IMPORTRANGE(""https://docs.google.com/spreadsheets/d/11923uPwbBZFjjGgGUA6NLw09EwE0CqkOc4q9oUmW1yo/edit?usp=sharing"",""เพชรบูรณ์!J121"")"),1)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IFERROR(__xludf.DUMMYFUNCTION("IMPORTRANGE(""https://docs.google.com/spreadsheets/d/11923uPwbBZFjjGgGUA6NLw09EwE0CqkOc4q9oUmW1yo/edit?usp=sharing"",""เพชรบูรณ์!J122"")"),1)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IFERROR(__xludf.DUMMYFUNCTION("IMPORTRANGE(""https://docs.google.com/spreadsheets/d/11923uPwbBZFjjGgGUA6NLw09EwE0CqkOc4q9oUmW1yo/edit?usp=sharing"",""เพชรบูรณ์!I124"")"),128000)</f>
        <v>128000</v>
      </c>
      <c r="J199" s="188">
        <f ca="1">IFERROR(__xludf.DUMMYFUNCTION("IMPORTRANGE(""https://docs.google.com/spreadsheets/d/11923uPwbBZFjjGgGUA6NLw09EwE0CqkOc4q9oUmW1yo/edit?usp=sharing"",""เพชรบูรณ์!J124"")"),128000)</f>
        <v>128000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IFERROR(__xludf.DUMMYFUNCTION("IMPORTRANGE(""https://docs.google.com/spreadsheets/d/11923uPwbBZFjjGgGUA6NLw09EwE0CqkOc4q9oUmW1yo/edit?usp=sharing"",""เพชรบูรณ์!I125"")"),128000)</f>
        <v>128000</v>
      </c>
      <c r="J200" s="188">
        <f ca="1">IFERROR(__xludf.DUMMYFUNCTION("IMPORTRANGE(""https://docs.google.com/spreadsheets/d/11923uPwbBZFjjGgGUA6NLw09EwE0CqkOc4q9oUmW1yo/edit?usp=sharing"",""เพชรบูรณ์!J125"")"),0)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IFERROR(__xludf.DUMMYFUNCTION("IMPORTRANGE(""https://docs.google.com/spreadsheets/d/11923uPwbBZFjjGgGUA6NLw09EwE0CqkOc4q9oUmW1yo/edit?usp=sharing"",""เพชรบูรณ์!I126"")"),15)</f>
        <v>15</v>
      </c>
      <c r="J201" s="188">
        <f ca="1">IFERROR(__xludf.DUMMYFUNCTION("IMPORTRANGE(""https://docs.google.com/spreadsheets/d/11923uPwbBZFjjGgGUA6NLw09EwE0CqkOc4q9oUmW1yo/edit?usp=sharing"",""เพชรบูรณ์!J126"")"),15)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IFERROR(__xludf.DUMMYFUNCTION("IMPORTRANGE(""https://docs.google.com/spreadsheets/d/11923uPwbBZFjjGgGUA6NLw09EwE0CqkOc4q9oUmW1yo/edit?usp=sharing"",""เพชรบูรณ์!J127"")"),0)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IFERROR(__xludf.DUMMYFUNCTION("IMPORTRANGE(""https://docs.google.com/spreadsheets/d/11923uPwbBZFjjGgGUA6NLw09EwE0CqkOc4q9oUmW1yo/edit?usp=sharing"",""เพชรบูรณ์!J128"")"),0)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IFERROR(__xludf.DUMMYFUNCTION("IMPORTRANGE(""https://docs.google.com/spreadsheets/d/11923uPwbBZFjjGgGUA6NLw09EwE0CqkOc4q9oUmW1yo/edit?usp=sharing"",""เพชรบูรณ์!I129"")"),0)</f>
        <v>0</v>
      </c>
      <c r="J204" s="282">
        <f ca="1">IFERROR(__xludf.DUMMYFUNCTION("IMPORTRANGE(""https://docs.google.com/spreadsheets/d/11923uPwbBZFjjGgGUA6NLw09EwE0CqkOc4q9oUmW1yo/edit?usp=sharing"",""เพชรบูรณ์!J129"")"),0)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IFERROR(__xludf.DUMMYFUNCTION("IMPORTRANGE(""https://docs.google.com/spreadsheets/d/11923uPwbBZFjjGgGUA6NLw09EwE0CqkOc4q9oUmW1yo/edit?usp=sharing"",""เพชรบูรณ์!J134"")"),0)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IFERROR(__xludf.DUMMYFUNCTION("IMPORTRANGE(""https://docs.google.com/spreadsheets/d/11923uPwbBZFjjGgGUA6NLw09EwE0CqkOc4q9oUmW1yo/edit?usp=sharing"",""เพชรบูรณ์!J135"")"),0)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IFERROR(__xludf.DUMMYFUNCTION("IMPORTRANGE(""https://docs.google.com/spreadsheets/d/11923uPwbBZFjjGgGUA6NLw09EwE0CqkOc4q9oUmW1yo/edit?usp=sharing"",""เพชรบูรณ์!J136"")"),0)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IFERROR(__xludf.DUMMYFUNCTION("IMPORTRANGE(""https://docs.google.com/spreadsheets/d/11923uPwbBZFjjGgGUA6NLw09EwE0CqkOc4q9oUmW1yo/edit?usp=sharing"",""เพชรบูรณ์!J137"")"),0)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IFERROR(__xludf.DUMMYFUNCTION("IMPORTRANGE(""https://docs.google.com/spreadsheets/d/11923uPwbBZFjjGgGUA6NLw09EwE0CqkOc4q9oUmW1yo/edit?usp=sharing"",""เพชรบูรณ์!I138"")"),0)</f>
        <v>0</v>
      </c>
      <c r="J213" s="203">
        <f ca="1">IFERROR(__xludf.DUMMYFUNCTION("IMPORTRANGE(""https://docs.google.com/spreadsheets/d/11923uPwbBZFjjGgGUA6NLw09EwE0CqkOc4q9oUmW1yo/edit?usp=sharing"",""เพชรบูรณ์!J138"")"),0)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IFERROR(__xludf.DUMMYFUNCTION("IMPORTRANGE(""https://docs.google.com/spreadsheets/d/11923uPwbBZFjjGgGUA6NLw09EwE0CqkOc4q9oUmW1yo/edit?usp=sharing"",""เพชรบูรณ์!I140"")"),0)</f>
        <v>0</v>
      </c>
      <c r="J215" s="203">
        <f ca="1">IFERROR(__xludf.DUMMYFUNCTION("IMPORTRANGE(""https://docs.google.com/spreadsheets/d/11923uPwbBZFjjGgGUA6NLw09EwE0CqkOc4q9oUmW1yo/edit?usp=sharing"",""เพชรบูรณ์!J140"")"),0)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IFERROR(__xludf.DUMMYFUNCTION("IMPORTRANGE(""https://docs.google.com/spreadsheets/d/11923uPwbBZFjjGgGUA6NLw09EwE0CqkOc4q9oUmW1yo/edit?usp=sharing"",""เพชรบูรณ์!I141"")"),0)</f>
        <v>0</v>
      </c>
      <c r="J216" s="203">
        <f ca="1">IFERROR(__xludf.DUMMYFUNCTION("IMPORTRANGE(""https://docs.google.com/spreadsheets/d/11923uPwbBZFjjGgGUA6NLw09EwE0CqkOc4q9oUmW1yo/edit?usp=sharing"",""เพชรบูรณ์!J141"")"),0)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IFERROR(__xludf.DUMMYFUNCTION("IMPORTRANGE(""https://docs.google.com/spreadsheets/d/11923uPwbBZFjjGgGUA6NLw09EwE0CqkOc4q9oUmW1yo/edit?usp=sharing"",""เพชรบูรณ์!J142"")"),0)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IFERROR(__xludf.DUMMYFUNCTION("IMPORTRANGE(""https://docs.google.com/spreadsheets/d/11923uPwbBZFjjGgGUA6NLw09EwE0CqkOc4q9oUmW1yo/edit?usp=sharing"",""เพชรบูรณ์!J143"")"),0)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IFERROR(__xludf.DUMMYFUNCTION("IMPORTRANGE(""https://docs.google.com/spreadsheets/d/11923uPwbBZFjjGgGUA6NLw09EwE0CqkOc4q9oUmW1yo/edit?usp=sharing"",""เพชรบูรณ์!I144"")"),15)</f>
        <v>15</v>
      </c>
      <c r="J219" s="266">
        <f ca="1">IFERROR(__xludf.DUMMYFUNCTION("IMPORTRANGE(""https://docs.google.com/spreadsheets/d/11923uPwbBZFjjGgGUA6NLw09EwE0CqkOc4q9oUmW1yo/edit?usp=sharing"",""เพชรบูรณ์!J144"")"),15)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21125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21125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IFERROR(__xludf.DUMMYFUNCTION("IMPORTRANGE(""https://docs.google.com/spreadsheets/d/1Yj_ptqi66GCucihVvJfMjLAmec39IyEx_6qawtMGysU/edit?usp=sharing"",""สบก!BS29"")"),21125)</f>
        <v>21125</v>
      </c>
      <c r="N224" s="168">
        <f ca="1">IFERROR(__xludf.DUMMYFUNCTION("IMPORTRANGE(""https://docs.google.com/spreadsheets/d/1Yj_ptqi66GCucihVvJfMjLAmec39IyEx_6qawtMGysU/edit?usp=sharing"",""สบก!BT29"")"),21125)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IFERROR(__xludf.DUMMYFUNCTION("IMPORTRANGE(""https://docs.google.com/spreadsheets/d/1Yj_ptqi66GCucihVvJfMjLAmec39IyEx_6qawtMGysU/edit?usp=sharing"",""สบก!BO29"")"),0)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IFERROR(__xludf.DUMMYFUNCTION("IMPORTRANGE(""https://docs.google.com/spreadsheets/d/1Yj_ptqi66GCucihVvJfMjLAmec39IyEx_6qawtMGysU/edit?usp=sharing"",""สบก!BP29"")"),21125)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IFERROR(__xludf.DUMMYFUNCTION("IMPORTRANGE(""https://docs.google.com/spreadsheets/d/1Yj_ptqi66GCucihVvJfMjLAmec39IyEx_6qawtMGysU/edit?usp=sharing"",""สบก!BQ29"")"),0)</f>
        <v>0</v>
      </c>
      <c r="M228" s="49"/>
      <c r="N228" s="49">
        <f ca="1">IFERROR(__xludf.DUMMYFUNCTION("IMPORTRANGE(""https://docs.google.com/spreadsheets/d/1Yj_ptqi66GCucihVvJfMjLAmec39IyEx_6qawtMGysU/edit?usp=sharing"",""สบก!BU29"")"),0)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IFERROR(__xludf.DUMMYFUNCTION("IMPORTRANGE(""https://docs.google.com/spreadsheets/d/11923uPwbBZFjjGgGUA6NLw09EwE0CqkOc4q9oUmW1yo/edit?usp=sharing"",""เพชรบูรณ์!I149"")"),15)</f>
        <v>15</v>
      </c>
      <c r="J229" s="266">
        <f ca="1">IFERROR(__xludf.DUMMYFUNCTION("IMPORTRANGE(""https://docs.google.com/spreadsheets/d/11923uPwbBZFjjGgGUA6NLw09EwE0CqkOc4q9oUmW1yo/edit?usp=sharing"",""เพชรบูรณ์!J149"")"),15)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IFERROR(__xludf.DUMMYFUNCTION("IMPORTRANGE(""https://docs.google.com/spreadsheets/d/11923uPwbBZFjjGgGUA6NLw09EwE0CqkOc4q9oUmW1yo/edit?usp=sharing"",""เพชรบูรณ์!J151"")"),0)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IFERROR(__xludf.DUMMYFUNCTION("IMPORTRANGE(""https://docs.google.com/spreadsheets/d/11923uPwbBZFjjGgGUA6NLw09EwE0CqkOc4q9oUmW1yo/edit?usp=sharing"",""เพชรบูรณ์!J152"")"),1)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IFERROR(__xludf.DUMMYFUNCTION("IMPORTRANGE(""https://docs.google.com/spreadsheets/d/11923uPwbBZFjjGgGUA6NLw09EwE0CqkOc4q9oUmW1yo/edit?usp=sharing"",""เพชรบูรณ์!J153"")"),1)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IFERROR(__xludf.DUMMYFUNCTION("IMPORTRANGE(""https://docs.google.com/spreadsheets/d/11923uPwbBZFjjGgGUA6NLw09EwE0CqkOc4q9oUmW1yo/edit?usp=sharing"",""เพชรบูรณ์!J154"")"),1)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IFERROR(__xludf.DUMMYFUNCTION("IMPORTRANGE(""https://docs.google.com/spreadsheets/d/11923uPwbBZFjjGgGUA6NLw09EwE0CqkOc4q9oUmW1yo/edit?usp=sharing"",""เพชรบูรณ์!I155"")"),15)</f>
        <v>15</v>
      </c>
      <c r="J235" s="188">
        <f ca="1">IFERROR(__xludf.DUMMYFUNCTION("IMPORTRANGE(""https://docs.google.com/spreadsheets/d/11923uPwbBZFjjGgGUA6NLw09EwE0CqkOc4q9oUmW1yo/edit?usp=sharing"",""เพชรบูรณ์!J155"")"),15)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IFERROR(__xludf.DUMMYFUNCTION("IMPORTRANGE(""https://docs.google.com/spreadsheets/d/11923uPwbBZFjjGgGUA6NLw09EwE0CqkOc4q9oUmW1yo/edit?usp=sharing"",""เพชรบูรณ์!J156"")"),0)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IFERROR(__xludf.DUMMYFUNCTION("IMPORTRANGE(""https://docs.google.com/spreadsheets/d/11923uPwbBZFjjGgGUA6NLw09EwE0CqkOc4q9oUmW1yo/edit?usp=sharing"",""เพชรบูรณ์!J157"")"),0)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IFERROR(__xludf.DUMMYFUNCTION("IMPORTRANGE(""https://docs.google.com/spreadsheets/d/11923uPwbBZFjjGgGUA6NLw09EwE0CqkOc4q9oUmW1yo/edit?usp=sharing"",""เพชรบูรณ์!I158"")"),0)</f>
        <v>0</v>
      </c>
      <c r="J238" s="266">
        <f ca="1">IFERROR(__xludf.DUMMYFUNCTION("IMPORTRANGE(""https://docs.google.com/spreadsheets/d/11923uPwbBZFjjGgGUA6NLw09EwE0CqkOc4q9oUmW1yo/edit?usp=sharing"",""เพชรบูรณ์!J158"")"),0)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IFERROR(__xludf.DUMMYFUNCTION("IMPORTRANGE(""https://docs.google.com/spreadsheets/d/11923uPwbBZFjjGgGUA6NLw09EwE0CqkOc4q9oUmW1yo/edit?usp=sharing"",""เพชรบูรณ์!J159"")"),"")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IFERROR(__xludf.DUMMYFUNCTION("IMPORTRANGE(""https://docs.google.com/spreadsheets/d/11923uPwbBZFjjGgGUA6NLw09EwE0CqkOc4q9oUmW1yo/edit?usp=sharing"",""เพชรบูรณ์!J161"")"),0)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IFERROR(__xludf.DUMMYFUNCTION("IMPORTRANGE(""https://docs.google.com/spreadsheets/d/11923uPwbBZFjjGgGUA6NLw09EwE0CqkOc4q9oUmW1yo/edit?usp=sharing"",""เพชรบูรณ์!J162"")"),0)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IFERROR(__xludf.DUMMYFUNCTION("IMPORTRANGE(""https://docs.google.com/spreadsheets/d/11923uPwbBZFjjGgGUA6NLw09EwE0CqkOc4q9oUmW1yo/edit?usp=sharing"",""เพชรบูรณ์!J163"")"),0)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IFERROR(__xludf.DUMMYFUNCTION("IMPORTRANGE(""https://docs.google.com/spreadsheets/d/11923uPwbBZFjjGgGUA6NLw09EwE0CqkOc4q9oUmW1yo/edit?usp=sharing"",""เพชรบูรณ์!I164"")"),0)</f>
        <v>0</v>
      </c>
      <c r="J244" s="187">
        <f ca="1">IFERROR(__xludf.DUMMYFUNCTION("IMPORTRANGE(""https://docs.google.com/spreadsheets/d/11923uPwbBZFjjGgGUA6NLw09EwE0CqkOc4q9oUmW1yo/edit?usp=sharing"",""เพชรบูรณ์!J164"")"),0)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IFERROR(__xludf.DUMMYFUNCTION("IMPORTRANGE(""https://docs.google.com/spreadsheets/d/11923uPwbBZFjjGgGUA6NLw09EwE0CqkOc4q9oUmW1yo/edit?usp=sharing"",""เพชรบูรณ์!J165"")"),0)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IFERROR(__xludf.DUMMYFUNCTION("IMPORTRANGE(""https://docs.google.com/spreadsheets/d/11923uPwbBZFjjGgGUA6NLw09EwE0CqkOc4q9oUmW1yo/edit?usp=sharing"",""เพชรบูรณ์!J166"")"),0)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IFERROR(__xludf.DUMMYFUNCTION("IMPORTRANGE(""https://docs.google.com/spreadsheets/d/11923uPwbBZFjjGgGUA6NLw09EwE0CqkOc4q9oUmW1yo/edit?usp=sharing"",""เพชรบูรณ์!I169"")"),25)</f>
        <v>25</v>
      </c>
      <c r="J249" s="314">
        <f ca="1">IFERROR(__xludf.DUMMYFUNCTION("IMPORTRANGE(""https://docs.google.com/spreadsheets/d/11923uPwbBZFjjGgGUA6NLw09EwE0CqkOc4q9oUmW1yo/edit?usp=sharing"",""เพชรบูรณ์!J169"")"),25)</f>
        <v>25</v>
      </c>
      <c r="K249" s="315">
        <f ca="1">IF(I249&gt;0,J249*100/I249,0)</f>
        <v>100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199000</v>
      </c>
      <c r="M250" s="151">
        <f t="shared" ca="1" si="77"/>
        <v>97500</v>
      </c>
      <c r="N250" s="151">
        <f t="shared" ca="1" si="77"/>
        <v>91624</v>
      </c>
      <c r="O250" s="150">
        <f t="shared" ref="O250:O252" ca="1" si="78">IF(L250&gt;0,N250*100/L250,0)</f>
        <v>46.042211055276383</v>
      </c>
      <c r="P250" s="150">
        <f t="shared" ref="P250:P252" ca="1" si="79">IF(M250&gt;0,N250*100/M250,0)</f>
        <v>93.973333333333329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199000</v>
      </c>
      <c r="M252" s="87">
        <f t="shared" ca="1" si="81"/>
        <v>97500</v>
      </c>
      <c r="N252" s="87">
        <f t="shared" ca="1" si="81"/>
        <v>91624</v>
      </c>
      <c r="O252" s="155">
        <f t="shared" ca="1" si="78"/>
        <v>46.042211055276383</v>
      </c>
      <c r="P252" s="155">
        <f t="shared" ca="1" si="79"/>
        <v>93.973333333333329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199000</v>
      </c>
      <c r="M254" s="167">
        <f ca="1">IFERROR(__xludf.DUMMYFUNCTION("IMPORTRANGE(""https://docs.google.com/spreadsheets/d/1Yj_ptqi66GCucihVvJfMjLAmec39IyEx_6qawtMGysU/edit?usp=sharing"",""สบก!CB29"")"),97500)</f>
        <v>97500</v>
      </c>
      <c r="N254" s="168">
        <f ca="1">IFERROR(__xludf.DUMMYFUNCTION("IMPORTRANGE(""https://docs.google.com/spreadsheets/d/1Yj_ptqi66GCucihVvJfMjLAmec39IyEx_6qawtMGysU/edit?usp=sharing"",""สบก!CC29"")"),91624)</f>
        <v>91624</v>
      </c>
      <c r="O254" s="168">
        <f ca="1">IF(L254&gt;0,N254*100/L254,0)</f>
        <v>46.042211055276383</v>
      </c>
      <c r="P254" s="168">
        <f ca="1">IF(M254&gt;0,N254*100/M254,0)</f>
        <v>93.973333333333329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IFERROR(__xludf.DUMMYFUNCTION("IMPORTRANGE(""https://docs.google.com/spreadsheets/d/1Yj_ptqi66GCucihVvJfMjLAmec39IyEx_6qawtMGysU/edit?usp=sharing"",""สบก!BX29"")"),0)</f>
        <v>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IFERROR(__xludf.DUMMYFUNCTION("IMPORTRANGE(""https://docs.google.com/spreadsheets/d/1Yj_ptqi66GCucihVvJfMjLAmec39IyEx_6qawtMGysU/edit?usp=sharing"",""สบก!BY29"")"),199000)</f>
        <v>199000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IFERROR(__xludf.DUMMYFUNCTION("IMPORTRANGE(""https://docs.google.com/spreadsheets/d/1Yj_ptqi66GCucihVvJfMjLAmec39IyEx_6qawtMGysU/edit?usp=sharing"",""สบก!BZ29"")"),0)</f>
        <v>0</v>
      </c>
      <c r="M258" s="49"/>
      <c r="N258" s="49">
        <f ca="1">IFERROR(__xludf.DUMMYFUNCTION("IMPORTRANGE(""https://docs.google.com/spreadsheets/d/1Yj_ptqi66GCucihVvJfMjLAmec39IyEx_6qawtMGysU/edit?usp=sharing"",""สบก!CD29"")"),0)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IFERROR(__xludf.DUMMYFUNCTION("IMPORTRANGE(""https://docs.google.com/spreadsheets/d/11923uPwbBZFjjGgGUA6NLw09EwE0CqkOc4q9oUmW1yo/edit?usp=sharing"",""เพชรบูรณ์!J175"")"),0)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IFERROR(__xludf.DUMMYFUNCTION("IMPORTRANGE(""https://docs.google.com/spreadsheets/d/11923uPwbBZFjjGgGUA6NLw09EwE0CqkOc4q9oUmW1yo/edit?usp=sharing"",""เพชรบูรณ์!J176"")"),1)</f>
        <v>1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IFERROR(__xludf.DUMMYFUNCTION("IMPORTRANGE(""https://docs.google.com/spreadsheets/d/11923uPwbBZFjjGgGUA6NLw09EwE0CqkOc4q9oUmW1yo/edit?usp=sharing"",""เพชรบูรณ์!J177"")"),1)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IFERROR(__xludf.DUMMYFUNCTION("IMPORTRANGE(""https://docs.google.com/spreadsheets/d/11923uPwbBZFjjGgGUA6NLw09EwE0CqkOc4q9oUmW1yo/edit?usp=sharing"",""เพชรบูรณ์!J178"")"),1)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IFERROR(__xludf.DUMMYFUNCTION("IMPORTRANGE(""https://docs.google.com/spreadsheets/d/11923uPwbBZFjjGgGUA6NLw09EwE0CqkOc4q9oUmW1yo/edit?usp=sharing"",""เพชรบูรณ์!I179"")"),1)</f>
        <v>1</v>
      </c>
      <c r="J264" s="188">
        <f ca="1">IFERROR(__xludf.DUMMYFUNCTION("IMPORTRANGE(""https://docs.google.com/spreadsheets/d/11923uPwbBZFjjGgGUA6NLw09EwE0CqkOc4q9oUmW1yo/edit?usp=sharing"",""เพชรบูรณ์!J179"")"),1)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IFERROR(__xludf.DUMMYFUNCTION("IMPORTRANGE(""https://docs.google.com/spreadsheets/d/11923uPwbBZFjjGgGUA6NLw09EwE0CqkOc4q9oUmW1yo/edit?usp=sharing"",""เพชรบูรณ์!I180"")"),25)</f>
        <v>25</v>
      </c>
      <c r="J265" s="188">
        <f ca="1">IFERROR(__xludf.DUMMYFUNCTION("IMPORTRANGE(""https://docs.google.com/spreadsheets/d/11923uPwbBZFjjGgGUA6NLw09EwE0CqkOc4q9oUmW1yo/edit?usp=sharing"",""เพชรบูรณ์!J180"")"),25)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IFERROR(__xludf.DUMMYFUNCTION("IMPORTRANGE(""https://docs.google.com/spreadsheets/d/11923uPwbBZFjjGgGUA6NLw09EwE0CqkOc4q9oUmW1yo/edit?usp=sharing"",""เพชรบูรณ์!I181"")"),25)</f>
        <v>25</v>
      </c>
      <c r="J266" s="188">
        <f ca="1">IFERROR(__xludf.DUMMYFUNCTION("IMPORTRANGE(""https://docs.google.com/spreadsheets/d/11923uPwbBZFjjGgGUA6NLw09EwE0CqkOc4q9oUmW1yo/edit?usp=sharing"",""เพชรบูรณ์!J181"")"),25)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IFERROR(__xludf.DUMMYFUNCTION("IMPORTRANGE(""https://docs.google.com/spreadsheets/d/11923uPwbBZFjjGgGUA6NLw09EwE0CqkOc4q9oUmW1yo/edit?usp=sharing"",""เพชรบูรณ์!I182"")"),1)</f>
        <v>1</v>
      </c>
      <c r="J267" s="188">
        <f ca="1">IFERROR(__xludf.DUMMYFUNCTION("IMPORTRANGE(""https://docs.google.com/spreadsheets/d/11923uPwbBZFjjGgGUA6NLw09EwE0CqkOc4q9oUmW1yo/edit?usp=sharing"",""เพชรบูรณ์!J182"")"),1)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IFERROR(__xludf.DUMMYFUNCTION("IMPORTRANGE(""https://docs.google.com/spreadsheets/d/11923uPwbBZFjjGgGUA6NLw09EwE0CqkOc4q9oUmW1yo/edit?usp=sharing"",""เพชรบูรณ์!J183"")"),0)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IFERROR(__xludf.DUMMYFUNCTION("IMPORTRANGE(""https://docs.google.com/spreadsheets/d/11923uPwbBZFjjGgGUA6NLw09EwE0CqkOc4q9oUmW1yo/edit?usp=sharing"",""เพชรบูรณ์!J184"")"),0)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IFERROR(__xludf.DUMMYFUNCTION("IMPORTRANGE(""https://docs.google.com/spreadsheets/d/11923uPwbBZFjjGgGUA6NLw09EwE0CqkOc4q9oUmW1yo/edit?usp=sharing"",""เพชรบูรณ์!I185"")"),20)</f>
        <v>20</v>
      </c>
      <c r="J270" s="314">
        <f ca="1">IFERROR(__xludf.DUMMYFUNCTION("IMPORTRANGE(""https://docs.google.com/spreadsheets/d/11923uPwbBZFjjGgGUA6NLw09EwE0CqkOc4q9oUmW1yo/edit?usp=sharing"",""เพชรบูรณ์!J185"")"),20)</f>
        <v>20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73700</v>
      </c>
      <c r="M271" s="151">
        <f t="shared" ca="1" si="83"/>
        <v>33000</v>
      </c>
      <c r="N271" s="151">
        <f t="shared" ca="1" si="83"/>
        <v>33000</v>
      </c>
      <c r="O271" s="150">
        <f t="shared" ref="O271:O273" ca="1" si="84">IF(L271&gt;0,N271*100/L271,0)</f>
        <v>44.776119402985074</v>
      </c>
      <c r="P271" s="150">
        <f t="shared" ref="P271:P273" ca="1" si="85">IF(M271&gt;0,N271*100/M271,0)</f>
        <v>100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73700</v>
      </c>
      <c r="M273" s="87">
        <f t="shared" ca="1" si="87"/>
        <v>33000</v>
      </c>
      <c r="N273" s="87">
        <f t="shared" ca="1" si="87"/>
        <v>33000</v>
      </c>
      <c r="O273" s="155">
        <f t="shared" ca="1" si="84"/>
        <v>44.776119402985074</v>
      </c>
      <c r="P273" s="155">
        <f t="shared" ca="1" si="85"/>
        <v>100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73700</v>
      </c>
      <c r="M275" s="167">
        <f ca="1">IFERROR(__xludf.DUMMYFUNCTION("IMPORTRANGE(""https://docs.google.com/spreadsheets/d/1Yj_ptqi66GCucihVvJfMjLAmec39IyEx_6qawtMGysU/edit?usp=sharing"",""สบก!CK29"")"),33000)</f>
        <v>33000</v>
      </c>
      <c r="N275" s="168">
        <f ca="1">IFERROR(__xludf.DUMMYFUNCTION("IMPORTRANGE(""https://docs.google.com/spreadsheets/d/1Yj_ptqi66GCucihVvJfMjLAmec39IyEx_6qawtMGysU/edit?usp=sharing"",""สบก!CL29"")"),33000)</f>
        <v>33000</v>
      </c>
      <c r="O275" s="168">
        <f ca="1">IF(L275&gt;0,N275*100/L275,0)</f>
        <v>44.776119402985074</v>
      </c>
      <c r="P275" s="168">
        <f ca="1">IF(M275&gt;0,N275*100/M275,0)</f>
        <v>100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IFERROR(__xludf.DUMMYFUNCTION("IMPORTRANGE(""https://docs.google.com/spreadsheets/d/1Yj_ptqi66GCucihVvJfMjLAmec39IyEx_6qawtMGysU/edit?usp=sharing"",""สบก!CG29"")"),0)</f>
        <v>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IFERROR(__xludf.DUMMYFUNCTION("IMPORTRANGE(""https://docs.google.com/spreadsheets/d/1Yj_ptqi66GCucihVvJfMjLAmec39IyEx_6qawtMGysU/edit?usp=sharing"",""สบก!CH29"")"),73700)</f>
        <v>73700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IFERROR(__xludf.DUMMYFUNCTION("IMPORTRANGE(""https://docs.google.com/spreadsheets/d/1Yj_ptqi66GCucihVvJfMjLAmec39IyEx_6qawtMGysU/edit?usp=sharing"",""สบก!CI29"")"),0)</f>
        <v>0</v>
      </c>
      <c r="M279" s="49"/>
      <c r="N279" s="49">
        <f ca="1">IFERROR(__xludf.DUMMYFUNCTION("IMPORTRANGE(""https://docs.google.com/spreadsheets/d/1Yj_ptqi66GCucihVvJfMjLAmec39IyEx_6qawtMGysU/edit?usp=sharing"",""สบก!CM29"")"),0)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IFERROR(__xludf.DUMMYFUNCTION("IMPORTRANGE(""https://docs.google.com/spreadsheets/d/11923uPwbBZFjjGgGUA6NLw09EwE0CqkOc4q9oUmW1yo/edit?usp=sharing"",""เพชรบูรณ์!J191"")"),0)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IFERROR(__xludf.DUMMYFUNCTION("IMPORTRANGE(""https://docs.google.com/spreadsheets/d/11923uPwbBZFjjGgGUA6NLw09EwE0CqkOc4q9oUmW1yo/edit?usp=sharing"",""เพชรบูรณ์!J192"")"),1)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IFERROR(__xludf.DUMMYFUNCTION("IMPORTRANGE(""https://docs.google.com/spreadsheets/d/11923uPwbBZFjjGgGUA6NLw09EwE0CqkOc4q9oUmW1yo/edit?usp=sharing"",""เพชรบูรณ์!J193"")"),1)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IFERROR(__xludf.DUMMYFUNCTION("IMPORTRANGE(""https://docs.google.com/spreadsheets/d/11923uPwbBZFjjGgGUA6NLw09EwE0CqkOc4q9oUmW1yo/edit?usp=sharing"",""เพชรบูรณ์!J194"")"),1)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IFERROR(__xludf.DUMMYFUNCTION("IMPORTRANGE(""https://docs.google.com/spreadsheets/d/11923uPwbBZFjjGgGUA6NLw09EwE0CqkOc4q9oUmW1yo/edit?usp=sharing"",""เพชรบูรณ์!I195"")"),20)</f>
        <v>20</v>
      </c>
      <c r="J285" s="188">
        <f ca="1">IFERROR(__xludf.DUMMYFUNCTION("IMPORTRANGE(""https://docs.google.com/spreadsheets/d/11923uPwbBZFjjGgGUA6NLw09EwE0CqkOc4q9oUmW1yo/edit?usp=sharing"",""เพชรบูรณ์!J195"")"),20)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IFERROR(__xludf.DUMMYFUNCTION("IMPORTRANGE(""https://docs.google.com/spreadsheets/d/11923uPwbBZFjjGgGUA6NLw09EwE0CqkOc4q9oUmW1yo/edit?usp=sharing"",""เพชรบูรณ์!J196"")"),0)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IFERROR(__xludf.DUMMYFUNCTION("IMPORTRANGE(""https://docs.google.com/spreadsheets/d/11923uPwbBZFjjGgGUA6NLw09EwE0CqkOc4q9oUmW1yo/edit?usp=sharing"",""เพชรบูรณ์!J197"")"),0)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IFERROR(__xludf.DUMMYFUNCTION("IMPORTRANGE(""https://docs.google.com/spreadsheets/d/11923uPwbBZFjjGgGUA6NLw09EwE0CqkOc4q9oUmW1yo/edit?usp=sharing"",""เพชรบูรณ์!I199"")"),0)</f>
        <v>0</v>
      </c>
      <c r="J289" s="314">
        <f ca="1">IFERROR(__xludf.DUMMYFUNCTION("IMPORTRANGE(""https://docs.google.com/spreadsheets/d/11923uPwbBZFjjGgGUA6NLw09EwE0CqkOc4q9oUmW1yo/edit?usp=sharing"",""เพชรบูรณ์!J199"")"),0)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IFERROR(__xludf.DUMMYFUNCTION("IMPORTRANGE(""https://docs.google.com/spreadsheets/d/1Yj_ptqi66GCucihVvJfMjLAmec39IyEx_6qawtMGysU/edit?usp=sharing"",""สบก!CT29"")"),0)</f>
        <v>0</v>
      </c>
      <c r="N294" s="168">
        <f ca="1">IFERROR(__xludf.DUMMYFUNCTION("IMPORTRANGE(""https://docs.google.com/spreadsheets/d/1Yj_ptqi66GCucihVvJfMjLAmec39IyEx_6qawtMGysU/edit?usp=sharing"",""สบก!CU29"")"),0)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IFERROR(__xludf.DUMMYFUNCTION("IMPORTRANGE(""https://docs.google.com/spreadsheets/d/1Yj_ptqi66GCucihVvJfMjLAmec39IyEx_6qawtMGysU/edit?usp=sharing"",""สบก!CP29"")"),0)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IFERROR(__xludf.DUMMYFUNCTION("IMPORTRANGE(""https://docs.google.com/spreadsheets/d/1Yj_ptqi66GCucihVvJfMjLAmec39IyEx_6qawtMGysU/edit?usp=sharing"",""สบก!CQ29"")"),0)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IFERROR(__xludf.DUMMYFUNCTION("IMPORTRANGE(""https://docs.google.com/spreadsheets/d/1Yj_ptqi66GCucihVvJfMjLAmec39IyEx_6qawtMGysU/edit?usp=sharing"",""สบก!CR29"")"),0)</f>
        <v>0</v>
      </c>
      <c r="M298" s="49"/>
      <c r="N298" s="49">
        <f ca="1">IFERROR(__xludf.DUMMYFUNCTION("IMPORTRANGE(""https://docs.google.com/spreadsheets/d/1Yj_ptqi66GCucihVvJfMjLAmec39IyEx_6qawtMGysU/edit?usp=sharing"",""สบก!CV29"")"),0)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IFERROR(__xludf.DUMMYFUNCTION("IMPORTRANGE(""https://docs.google.com/spreadsheets/d/11923uPwbBZFjjGgGUA6NLw09EwE0CqkOc4q9oUmW1yo/edit?usp=sharing"",""เพชรบูรณ์!J205"")"),0)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IFERROR(__xludf.DUMMYFUNCTION("IMPORTRANGE(""https://docs.google.com/spreadsheets/d/11923uPwbBZFjjGgGUA6NLw09EwE0CqkOc4q9oUmW1yo/edit?usp=sharing"",""เพชรบูรณ์!J206"")"),0)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IFERROR(__xludf.DUMMYFUNCTION("IMPORTRANGE(""https://docs.google.com/spreadsheets/d/11923uPwbBZFjjGgGUA6NLw09EwE0CqkOc4q9oUmW1yo/edit?usp=sharing"",""เพชรบูรณ์!J207"")"),0)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IFERROR(__xludf.DUMMYFUNCTION("IMPORTRANGE(""https://docs.google.com/spreadsheets/d/11923uPwbBZFjjGgGUA6NLw09EwE0CqkOc4q9oUmW1yo/edit?usp=sharing"",""เพชรบูรณ์!J208"")"),0)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IFERROR(__xludf.DUMMYFUNCTION("IMPORTRANGE(""https://docs.google.com/spreadsheets/d/11923uPwbBZFjjGgGUA6NLw09EwE0CqkOc4q9oUmW1yo/edit?usp=sharing"",""เพชรบูรณ์!I209"")"),0)</f>
        <v>0</v>
      </c>
      <c r="J304" s="203">
        <f ca="1">IFERROR(__xludf.DUMMYFUNCTION("IMPORTRANGE(""https://docs.google.com/spreadsheets/d/11923uPwbBZFjjGgGUA6NLw09EwE0CqkOc4q9oUmW1yo/edit?usp=sharing"",""เพชรบูรณ์!J209"")"),0)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IFERROR(__xludf.DUMMYFUNCTION("IMPORTRANGE(""https://docs.google.com/spreadsheets/d/11923uPwbBZFjjGgGUA6NLw09EwE0CqkOc4q9oUmW1yo/edit?usp=sharing"",""เพชรบูรณ์!I211"")"),0)</f>
        <v>0</v>
      </c>
      <c r="J306" s="203">
        <f ca="1">IFERROR(__xludf.DUMMYFUNCTION("IMPORTRANGE(""https://docs.google.com/spreadsheets/d/11923uPwbBZFjjGgGUA6NLw09EwE0CqkOc4q9oUmW1yo/edit?usp=sharing"",""เพชรบูรณ์!J211"")"),0)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IFERROR(__xludf.DUMMYFUNCTION("IMPORTRANGE(""https://docs.google.com/spreadsheets/d/11923uPwbBZFjjGgGUA6NLw09EwE0CqkOc4q9oUmW1yo/edit?usp=sharing"",""เพชรบูรณ์!J212"")"),0)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IFERROR(__xludf.DUMMYFUNCTION("IMPORTRANGE(""https://docs.google.com/spreadsheets/d/11923uPwbBZFjjGgGUA6NLw09EwE0CqkOc4q9oUmW1yo/edit?usp=sharing"",""เพชรบูรณ์!J213"")"),0)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IFERROR(__xludf.DUMMYFUNCTION("IMPORTRANGE(""https://docs.google.com/spreadsheets/d/11923uPwbBZFjjGgGUA6NLw09EwE0CqkOc4q9oUmW1yo/edit?usp=sharing"",""เพชรบูรณ์!I214"")"),0)</f>
        <v>0</v>
      </c>
      <c r="J309" s="331">
        <f ca="1">IFERROR(__xludf.DUMMYFUNCTION("IMPORTRANGE(""https://docs.google.com/spreadsheets/d/11923uPwbBZFjjGgGUA6NLw09EwE0CqkOc4q9oUmW1yo/edit?usp=sharing"",""เพชรบูรณ์!J214"")"),0)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IFERROR(__xludf.DUMMYFUNCTION("IMPORTRANGE(""https://docs.google.com/spreadsheets/d/1Yj_ptqi66GCucihVvJfMjLAmec39IyEx_6qawtMGysU/edit?usp=sharing"",""สบก!DC29"")"),0)</f>
        <v>0</v>
      </c>
      <c r="N314" s="168">
        <f ca="1">IFERROR(__xludf.DUMMYFUNCTION("IMPORTRANGE(""https://docs.google.com/spreadsheets/d/1Yj_ptqi66GCucihVvJfMjLAmec39IyEx_6qawtMGysU/edit?usp=sharing"",""สบก!DD29"")"),0)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IFERROR(__xludf.DUMMYFUNCTION("IMPORTRANGE(""https://docs.google.com/spreadsheets/d/1Yj_ptqi66GCucihVvJfMjLAmec39IyEx_6qawtMGysU/edit?usp=sharing"",""สบก!CY29"")"),0)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IFERROR(__xludf.DUMMYFUNCTION("IMPORTRANGE(""https://docs.google.com/spreadsheets/d/1Yj_ptqi66GCucihVvJfMjLAmec39IyEx_6qawtMGysU/edit?usp=sharing"",""สบก!CZ29"")"),0)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IFERROR(__xludf.DUMMYFUNCTION("IMPORTRANGE(""https://docs.google.com/spreadsheets/d/1Yj_ptqi66GCucihVvJfMjLAmec39IyEx_6qawtMGysU/edit?usp=sharing"",""สบก!DA29"")"),0)</f>
        <v>0</v>
      </c>
      <c r="M318" s="49"/>
      <c r="N318" s="49">
        <f ca="1">IFERROR(__xludf.DUMMYFUNCTION("IMPORTRANGE(""https://docs.google.com/spreadsheets/d/1Yj_ptqi66GCucihVvJfMjLAmec39IyEx_6qawtMGysU/edit?usp=sharing"",""สบก!DE29"")"),0)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IFERROR(__xludf.DUMMYFUNCTION("IMPORTRANGE(""https://docs.google.com/spreadsheets/d/11923uPwbBZFjjGgGUA6NLw09EwE0CqkOc4q9oUmW1yo/edit?usp=sharing"",""เพชรบูรณ์!J220"")"),0)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IFERROR(__xludf.DUMMYFUNCTION("IMPORTRANGE(""https://docs.google.com/spreadsheets/d/11923uPwbBZFjjGgGUA6NLw09EwE0CqkOc4q9oUmW1yo/edit?usp=sharing"",""เพชรบูรณ์!J221"")"),0)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IFERROR(__xludf.DUMMYFUNCTION("IMPORTRANGE(""https://docs.google.com/spreadsheets/d/11923uPwbBZFjjGgGUA6NLw09EwE0CqkOc4q9oUmW1yo/edit?usp=sharing"",""เพชรบูรณ์!J222"")"),0)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IFERROR(__xludf.DUMMYFUNCTION("IMPORTRANGE(""https://docs.google.com/spreadsheets/d/11923uPwbBZFjjGgGUA6NLw09EwE0CqkOc4q9oUmW1yo/edit?usp=sharing"",""เพชรบูรณ์!J223"")"),0)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IFERROR(__xludf.DUMMYFUNCTION("IMPORTRANGE(""https://docs.google.com/spreadsheets/d/11923uPwbBZFjjGgGUA6NLw09EwE0CqkOc4q9oUmW1yo/edit?usp=sharing"",""เพชรบูรณ์!I224"")"),0)</f>
        <v>0</v>
      </c>
      <c r="J324" s="203">
        <f ca="1">IFERROR(__xludf.DUMMYFUNCTION("IMPORTRANGE(""https://docs.google.com/spreadsheets/d/11923uPwbBZFjjGgGUA6NLw09EwE0CqkOc4q9oUmW1yo/edit?usp=sharing"",""เพชรบูรณ์!J224"")"),0)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IFERROR(__xludf.DUMMYFUNCTION("IMPORTRANGE(""https://docs.google.com/spreadsheets/d/11923uPwbBZFjjGgGUA6NLw09EwE0CqkOc4q9oUmW1yo/edit?usp=sharing"",""เพชรบูรณ์!J225"")"),0)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IFERROR(__xludf.DUMMYFUNCTION("IMPORTRANGE(""https://docs.google.com/spreadsheets/d/11923uPwbBZFjjGgGUA6NLw09EwE0CqkOc4q9oUmW1yo/edit?usp=sharing"",""เพชรบูรณ์!J226"")"),0)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IFERROR(__xludf.DUMMYFUNCTION("IMPORTRANGE(""https://docs.google.com/spreadsheets/d/11923uPwbBZFjjGgGUA6NLw09EwE0CqkOc4q9oUmW1yo/edit?usp=sharing"",""เพชรบูรณ์!I228"")"),610)</f>
        <v>610</v>
      </c>
      <c r="J328" s="337">
        <f ca="1">IFERROR(__xludf.DUMMYFUNCTION("IMPORTRANGE(""https://docs.google.com/spreadsheets/d/11923uPwbBZFjjGgGUA6NLw09EwE0CqkOc4q9oUmW1yo/edit?usp=sharing"",""เพชรบูรณ์!J228"")"),59)</f>
        <v>59</v>
      </c>
      <c r="K328" s="315">
        <f ca="1">IF(I328&gt;0,J328*100/I328,0)</f>
        <v>9.6721311475409841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1209740</v>
      </c>
      <c r="M329" s="151">
        <f t="shared" ca="1" si="98"/>
        <v>732360</v>
      </c>
      <c r="N329" s="151">
        <f t="shared" ca="1" si="98"/>
        <v>612613</v>
      </c>
      <c r="O329" s="150">
        <f t="shared" ref="O329:O331" ca="1" si="99">IF(L329&gt;0,N329*100/L329,0)</f>
        <v>50.640054887827134</v>
      </c>
      <c r="P329" s="150">
        <f t="shared" ref="P329:P331" ca="1" si="100">IF(M329&gt;0,N329*100/M329,0)</f>
        <v>83.649161614506525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1209740</v>
      </c>
      <c r="M331" s="87">
        <f t="shared" ca="1" si="102"/>
        <v>732360</v>
      </c>
      <c r="N331" s="87">
        <f t="shared" ca="1" si="102"/>
        <v>612613</v>
      </c>
      <c r="O331" s="155">
        <f t="shared" ca="1" si="99"/>
        <v>50.640054887827134</v>
      </c>
      <c r="P331" s="155">
        <f t="shared" ca="1" si="100"/>
        <v>83.649161614506525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1144940</v>
      </c>
      <c r="M333" s="167">
        <f ca="1">IFERROR(__xludf.DUMMYFUNCTION("IMPORTRANGE(""https://docs.google.com/spreadsheets/d/1Yj_ptqi66GCucihVvJfMjLAmec39IyEx_6qawtMGysU/edit?usp=sharing"",""สบก!DL29"")"),667560)</f>
        <v>667560</v>
      </c>
      <c r="N333" s="168">
        <f ca="1">IFERROR(__xludf.DUMMYFUNCTION("IMPORTRANGE(""https://docs.google.com/spreadsheets/d/1Yj_ptqi66GCucihVvJfMjLAmec39IyEx_6qawtMGysU/edit?usp=sharing"",""สบก!DM29"")"),547813)</f>
        <v>547813</v>
      </c>
      <c r="O333" s="168">
        <f ca="1">IF(L333&gt;0,N333*100/L333,0)</f>
        <v>47.846437367897011</v>
      </c>
      <c r="P333" s="168">
        <f ca="1">IF(M333&gt;0,N333*100/M333,0)</f>
        <v>82.061986937503747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IFERROR(__xludf.DUMMYFUNCTION("IMPORTRANGE(""https://docs.google.com/spreadsheets/d/1Yj_ptqi66GCucihVvJfMjLAmec39IyEx_6qawtMGysU/edit?usp=sharing"",""สบก!DH29"")"),306000)</f>
        <v>306000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IFERROR(__xludf.DUMMYFUNCTION("IMPORTRANGE(""https://docs.google.com/spreadsheets/d/1Yj_ptqi66GCucihVvJfMjLAmec39IyEx_6qawtMGysU/edit?usp=sharing"",""สบก!DI29"")"),838940)</f>
        <v>838940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IFERROR(__xludf.DUMMYFUNCTION("IMPORTRANGE(""https://docs.google.com/spreadsheets/d/1Yj_ptqi66GCucihVvJfMjLAmec39IyEx_6qawtMGysU/edit?usp=sharing"",""สบก!DJ29"")"),64800)</f>
        <v>64800</v>
      </c>
      <c r="M337" s="49">
        <f ca="1">L337</f>
        <v>64800</v>
      </c>
      <c r="N337" s="49">
        <f ca="1">IFERROR(__xludf.DUMMYFUNCTION("IMPORTRANGE(""https://docs.google.com/spreadsheets/d/1Yj_ptqi66GCucihVvJfMjLAmec39IyEx_6qawtMGysU/edit?usp=sharing"",""สบก!DN29"")"),64800)</f>
        <v>64800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IFERROR(__xludf.DUMMYFUNCTION("IMPORTRANGE(""https://docs.google.com/spreadsheets/d/11923uPwbBZFjjGgGUA6NLw09EwE0CqkOc4q9oUmW1yo/edit?usp=sharing"",""เพชรบูรณ์!I234"")"),0)</f>
        <v>0</v>
      </c>
      <c r="J339" s="187">
        <f ca="1">IFERROR(__xludf.DUMMYFUNCTION("IMPORTRANGE(""https://docs.google.com/spreadsheets/d/11923uPwbBZFjjGgGUA6NLw09EwE0CqkOc4q9oUmW1yo/edit?usp=sharing"",""เพชรบูรณ์!J234"")"),160)</f>
        <v>160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IFERROR(__xludf.DUMMYFUNCTION("IMPORTRANGE(""https://docs.google.com/spreadsheets/d/11923uPwbBZFjjGgGUA6NLw09EwE0CqkOc4q9oUmW1yo/edit?usp=sharing"",""เพชรบูรณ์!I235"")"),5920)</f>
        <v>5920</v>
      </c>
      <c r="J340" s="187">
        <f ca="1">IFERROR(__xludf.DUMMYFUNCTION("IMPORTRANGE(""https://docs.google.com/spreadsheets/d/11923uPwbBZFjjGgGUA6NLw09EwE0CqkOc4q9oUmW1yo/edit?usp=sharing"",""เพชรบูรณ์!J235"")"),1760.29)</f>
        <v>1760.29</v>
      </c>
      <c r="K340" s="340">
        <f t="shared" ca="1" si="103"/>
        <v>29.734628378378378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IFERROR(__xludf.DUMMYFUNCTION("IMPORTRANGE(""https://docs.google.com/spreadsheets/d/11923uPwbBZFjjGgGUA6NLw09EwE0CqkOc4q9oUmW1yo/edit?usp=sharing"",""เพชรบูรณ์!I236"")"),610)</f>
        <v>610</v>
      </c>
      <c r="J341" s="187">
        <f ca="1">IFERROR(__xludf.DUMMYFUNCTION("IMPORTRANGE(""https://docs.google.com/spreadsheets/d/11923uPwbBZFjjGgGUA6NLw09EwE0CqkOc4q9oUmW1yo/edit?usp=sharing"",""เพชรบูรณ์!J236"")"),231)</f>
        <v>231</v>
      </c>
      <c r="K341" s="340">
        <f t="shared" ca="1" si="103"/>
        <v>37.868852459016395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IFERROR(__xludf.DUMMYFUNCTION("IMPORTRANGE(""https://docs.google.com/spreadsheets/d/11923uPwbBZFjjGgGUA6NLw09EwE0CqkOc4q9oUmW1yo/edit?usp=sharing"",""เพชรบูรณ์!I237"")"),0)</f>
        <v>0</v>
      </c>
      <c r="J342" s="187">
        <f ca="1">IFERROR(__xludf.DUMMYFUNCTION("IMPORTRANGE(""https://docs.google.com/spreadsheets/d/11923uPwbBZFjjGgGUA6NLw09EwE0CqkOc4q9oUmW1yo/edit?usp=sharing"",""เพชรบูรณ์!J237"")"),3244.25)</f>
        <v>3244.25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IFERROR(__xludf.DUMMYFUNCTION("IMPORTRANGE(""https://docs.google.com/spreadsheets/d/11923uPwbBZFjjGgGUA6NLw09EwE0CqkOc4q9oUmW1yo/edit?usp=sharing"",""เพชรบูรณ์!I238"")"),610)</f>
        <v>610</v>
      </c>
      <c r="J343" s="187">
        <f ca="1">IFERROR(__xludf.DUMMYFUNCTION("IMPORTRANGE(""https://docs.google.com/spreadsheets/d/11923uPwbBZFjjGgGUA6NLw09EwE0CqkOc4q9oUmW1yo/edit?usp=sharing"",""เพชรบูรณ์!J238"")"),38)</f>
        <v>38</v>
      </c>
      <c r="K343" s="340">
        <f t="shared" ca="1" si="103"/>
        <v>6.2295081967213113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IFERROR(__xludf.DUMMYFUNCTION("IMPORTRANGE(""https://docs.google.com/spreadsheets/d/11923uPwbBZFjjGgGUA6NLw09EwE0CqkOc4q9oUmW1yo/edit?usp=sharing"",""เพชรบูรณ์!I239"")"),0)</f>
        <v>0</v>
      </c>
      <c r="J344" s="187">
        <f ca="1">IFERROR(__xludf.DUMMYFUNCTION("IMPORTRANGE(""https://docs.google.com/spreadsheets/d/11923uPwbBZFjjGgGUA6NLw09EwE0CqkOc4q9oUmW1yo/edit?usp=sharing"",""เพชรบูรณ์!J239"")"),402.8)</f>
        <v>402.8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IFERROR(__xludf.DUMMYFUNCTION("IMPORTRANGE(""https://docs.google.com/spreadsheets/d/11923uPwbBZFjjGgGUA6NLw09EwE0CqkOc4q9oUmW1yo/edit?usp=sharing"",""เพชรบูรณ์!I240"")"),610)</f>
        <v>610</v>
      </c>
      <c r="J345" s="187">
        <f ca="1">IFERROR(__xludf.DUMMYFUNCTION("IMPORTRANGE(""https://docs.google.com/spreadsheets/d/11923uPwbBZFjjGgGUA6NLw09EwE0CqkOc4q9oUmW1yo/edit?usp=sharing"",""เพชรบูรณ์!J240"")"),59)</f>
        <v>59</v>
      </c>
      <c r="K345" s="340">
        <f t="shared" ca="1" si="103"/>
        <v>9.6721311475409841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IFERROR(__xludf.DUMMYFUNCTION("IMPORTRANGE(""https://docs.google.com/spreadsheets/d/11923uPwbBZFjjGgGUA6NLw09EwE0CqkOc4q9oUmW1yo/edit?usp=sharing"",""เพชรบูรณ์!I241"")"),0)</f>
        <v>0</v>
      </c>
      <c r="J346" s="187">
        <f ca="1">IFERROR(__xludf.DUMMYFUNCTION("IMPORTRANGE(""https://docs.google.com/spreadsheets/d/11923uPwbBZFjjGgGUA6NLw09EwE0CqkOc4q9oUmW1yo/edit?usp=sharing"",""เพชรบูรณ์!J241"")"),691.42)</f>
        <v>691.42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IFERROR(__xludf.DUMMYFUNCTION("IMPORTRANGE(""https://docs.google.com/spreadsheets/d/11923uPwbBZFjjGgGUA6NLw09EwE0CqkOc4q9oUmW1yo/edit?usp=sharing"",""เพชรบูรณ์!L242"")"),3172956)</f>
        <v>3172956</v>
      </c>
      <c r="M347" s="356"/>
      <c r="N347" s="356">
        <f ca="1">IFERROR(__xludf.DUMMYFUNCTION("IMPORTRANGE(""https://docs.google.com/spreadsheets/d/11923uPwbBZFjjGgGUA6NLw09EwE0CqkOc4q9oUmW1yo/edit?usp=sharing"",""เพชรบูรณ์!M242"")"),1005013.96)</f>
        <v>1005013.96</v>
      </c>
      <c r="O347" s="356">
        <f ca="1">+IF(L347&gt;0,N347*100/L347,0)</f>
        <v>31.674374305852336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IFERROR(__xludf.DUMMYFUNCTION("IMPORTRANGE(""https://docs.google.com/spreadsheets/d/11923uPwbBZFjjGgGUA6NLw09EwE0CqkOc4q9oUmW1yo/edit?usp=sharing"",""เพชรบูรณ์!I244"")"),425)</f>
        <v>425</v>
      </c>
      <c r="J349" s="369">
        <f ca="1">IFERROR(__xludf.DUMMYFUNCTION("IMPORTRANGE(""https://docs.google.com/spreadsheets/d/11923uPwbBZFjjGgGUA6NLw09EwE0CqkOc4q9oUmW1yo/edit?usp=sharing"",""เพชรบูรณ์!J244"")"),0)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IFERROR(__xludf.DUMMYFUNCTION("IMPORTRANGE(""https://docs.google.com/spreadsheets/d/11923uPwbBZFjjGgGUA6NLw09EwE0CqkOc4q9oUmW1yo/edit?usp=sharing"",""เพชรบูรณ์!L244"")"),664130)</f>
        <v>664130</v>
      </c>
      <c r="M349" s="371"/>
      <c r="N349" s="371">
        <f ca="1">IFERROR(__xludf.DUMMYFUNCTION("IMPORTRANGE(""https://docs.google.com/spreadsheets/d/11923uPwbBZFjjGgGUA6NLw09EwE0CqkOc4q9oUmW1yo/edit?usp=sharing"",""เพชรบูรณ์!M244"")"),216760)</f>
        <v>216760</v>
      </c>
      <c r="O349" s="371">
        <f ca="1">+IF(L349&gt;0,N349*100/L349,0)</f>
        <v>32.638188306506258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IFERROR(__xludf.DUMMYFUNCTION("IMPORTRANGE(""https://docs.google.com/spreadsheets/d/11923uPwbBZFjjGgGUA6NLw09EwE0CqkOc4q9oUmW1yo/edit?usp=sharing"",""เพชรบูรณ์!I245"")"),95)</f>
        <v>95</v>
      </c>
      <c r="J350" s="369">
        <f ca="1">IFERROR(__xludf.DUMMYFUNCTION("IMPORTRANGE(""https://docs.google.com/spreadsheets/d/11923uPwbBZFjjGgGUA6NLw09EwE0CqkOc4q9oUmW1yo/edit?usp=sharing"",""เพชรบูรณ์!J245"")"),95)</f>
        <v>95</v>
      </c>
      <c r="K350" s="370">
        <f t="shared" ca="1" si="104"/>
        <v>100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IFERROR(__xludf.DUMMYFUNCTION("IMPORTRANGE(""https://docs.google.com/spreadsheets/d/11923uPwbBZFjjGgGUA6NLw09EwE0CqkOc4q9oUmW1yo/edit?usp=sharing"",""เพชรบูรณ์!L246"")"),0)</f>
        <v>0</v>
      </c>
      <c r="M351" s="164"/>
      <c r="N351" s="164">
        <f ca="1">IFERROR(__xludf.DUMMYFUNCTION("IMPORTRANGE(""https://docs.google.com/spreadsheets/d/11923uPwbBZFjjGgGUA6NLw09EwE0CqkOc4q9oUmW1yo/edit?usp=sharing"",""เพชรบูรณ์!M246"")"),0)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IFERROR(__xludf.DUMMYFUNCTION("IMPORTRANGE(""https://docs.google.com/spreadsheets/d/11923uPwbBZFjjGgGUA6NLw09EwE0CqkOc4q9oUmW1yo/edit?usp=sharing"",""เพชรบูรณ์!L247"")"),664130)</f>
        <v>664130</v>
      </c>
      <c r="M352" s="165"/>
      <c r="N352" s="164">
        <f ca="1">IFERROR(__xludf.DUMMYFUNCTION("IMPORTRANGE(""https://docs.google.com/spreadsheets/d/11923uPwbBZFjjGgGUA6NLw09EwE0CqkOc4q9oUmW1yo/edit?usp=sharing"",""เพชรบูรณ์!M247"")"),216760)</f>
        <v>216760</v>
      </c>
      <c r="O352" s="165">
        <f t="shared" ca="1" si="105"/>
        <v>32.638188306506258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IFERROR(__xludf.DUMMYFUNCTION("IMPORTRANGE(""https://docs.google.com/spreadsheets/d/11923uPwbBZFjjGgGUA6NLw09EwE0CqkOc4q9oUmW1yo/edit?usp=sharing"",""เพชรบูรณ์!L248"")"),0)</f>
        <v>0</v>
      </c>
      <c r="M353" s="168"/>
      <c r="N353" s="168">
        <f ca="1">IFERROR(__xludf.DUMMYFUNCTION("IMPORTRANGE(""https://docs.google.com/spreadsheets/d/11923uPwbBZFjjGgGUA6NLw09EwE0CqkOc4q9oUmW1yo/edit?usp=sharing"",""เพชรบูรณ์!M248"")"),0)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IFERROR(__xludf.DUMMYFUNCTION("IMPORTRANGE(""https://docs.google.com/spreadsheets/d/11923uPwbBZFjjGgGUA6NLw09EwE0CqkOc4q9oUmW1yo/edit?usp=sharing"",""เพชรบูรณ์!L249"")"),664130)</f>
        <v>664130</v>
      </c>
      <c r="M354" s="168"/>
      <c r="N354" s="167">
        <f ca="1">IFERROR(__xludf.DUMMYFUNCTION("IMPORTRANGE(""https://docs.google.com/spreadsheets/d/11923uPwbBZFjjGgGUA6NLw09EwE0CqkOc4q9oUmW1yo/edit?usp=sharing"",""เพชรบูรณ์!M249"")"),216760)</f>
        <v>216760</v>
      </c>
      <c r="O354" s="168">
        <f t="shared" ca="1" si="105"/>
        <v>32.638188306506258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IFERROR(__xludf.DUMMYFUNCTION("IMPORTRANGE(""https://docs.google.com/spreadsheets/d/11923uPwbBZFjjGgGUA6NLw09EwE0CqkOc4q9oUmW1yo/edit?usp=sharing"",""เพชรบูรณ์!M250"")"),117510)</f>
        <v>117510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IFERROR(__xludf.DUMMYFUNCTION("IMPORTRANGE(""https://docs.google.com/spreadsheets/d/11923uPwbBZFjjGgGUA6NLw09EwE0CqkOc4q9oUmW1yo/edit?usp=sharing"",""เพชรบูรณ์!M251"")"),0)</f>
        <v>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IFERROR(__xludf.DUMMYFUNCTION("IMPORTRANGE(""https://docs.google.com/spreadsheets/d/11923uPwbBZFjjGgGUA6NLw09EwE0CqkOc4q9oUmW1yo/edit?usp=sharing"",""เพชรบูรณ์!M252"")"),65248)</f>
        <v>65248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IFERROR(__xludf.DUMMYFUNCTION("IMPORTRANGE(""https://docs.google.com/spreadsheets/d/11923uPwbBZFjjGgGUA6NLw09EwE0CqkOc4q9oUmW1yo/edit?usp=sharing"",""เพชรบูรณ์!M253"")"),34002)</f>
        <v>34002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IFERROR(__xludf.DUMMYFUNCTION("IMPORTRANGE(""https://docs.google.com/spreadsheets/d/11923uPwbBZFjjGgGUA6NLw09EwE0CqkOc4q9oUmW1yo/edit?usp=sharing"",""เพชรบูรณ์!J255"")"),0)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IFERROR(__xludf.DUMMYFUNCTION("IMPORTRANGE(""https://docs.google.com/spreadsheets/d/11923uPwbBZFjjGgGUA6NLw09EwE0CqkOc4q9oUmW1yo/edit?usp=sharing"",""เพชรบูรณ์!J256"")"),1)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IFERROR(__xludf.DUMMYFUNCTION("IMPORTRANGE(""https://docs.google.com/spreadsheets/d/11923uPwbBZFjjGgGUA6NLw09EwE0CqkOc4q9oUmW1yo/edit?usp=sharing"",""เพชรบูรณ์!J257"")"),1)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IFERROR(__xludf.DUMMYFUNCTION("IMPORTRANGE(""https://docs.google.com/spreadsheets/d/11923uPwbBZFjjGgGUA6NLw09EwE0CqkOc4q9oUmW1yo/edit?usp=sharing"",""เพชรบูรณ์!J258"")"),1)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IFERROR(__xludf.DUMMYFUNCTION("IMPORTRANGE(""https://docs.google.com/spreadsheets/d/11923uPwbBZFjjGgGUA6NLw09EwE0CqkOc4q9oUmW1yo/edit?usp=sharing"",""เพชรบูรณ์!J166"")"),0)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IFERROR(__xludf.DUMMYFUNCTION("IMPORTRANGE(""https://docs.google.com/spreadsheets/d/11923uPwbBZFjjGgGUA6NLw09EwE0CqkOc4q9oUmW1yo/edit?usp=sharing"",""เพชรบูรณ์!J166"")"),0)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IFERROR(__xludf.DUMMYFUNCTION("IMPORTRANGE(""https://docs.google.com/spreadsheets/d/11923uPwbBZFjjGgGUA6NLw09EwE0CqkOc4q9oUmW1yo/edit?usp=sharing"",""เพชรบูรณ์!J166"")"),0)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IFERROR(__xludf.DUMMYFUNCTION("IMPORTRANGE(""https://docs.google.com/spreadsheets/d/11923uPwbBZFjjGgGUA6NLw09EwE0CqkOc4q9oUmW1yo/edit?usp=sharing"",""เพชรบูรณ์!J166"")"),0)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IFERROR(__xludf.DUMMYFUNCTION("IMPORTRANGE(""https://docs.google.com/spreadsheets/d/11923uPwbBZFjjGgGUA6NLw09EwE0CqkOc4q9oUmW1yo/edit?usp=sharing"",""เพชรบูรณ์!I263"")"),95)</f>
        <v>95</v>
      </c>
      <c r="J368" s="187">
        <f ca="1">IFERROR(__xludf.DUMMYFUNCTION("IMPORTRANGE(""https://docs.google.com/spreadsheets/d/11923uPwbBZFjjGgGUA6NLw09EwE0CqkOc4q9oUmW1yo/edit?usp=sharing"",""เพชรบูรณ์!J263"")"),95)</f>
        <v>95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IFERROR(__xludf.DUMMYFUNCTION("IMPORTRANGE(""https://docs.google.com/spreadsheets/d/11923uPwbBZFjjGgGUA6NLw09EwE0CqkOc4q9oUmW1yo/edit?usp=sharing"",""เพชรบูรณ์!I164"")"),0)</f>
        <v>0</v>
      </c>
      <c r="J369" s="203">
        <f ca="1">IFERROR(__xludf.DUMMYFUNCTION("IMPORTRANGE(""https://docs.google.com/spreadsheets/d/11923uPwbBZFjjGgGUA6NLw09EwE0CqkOc4q9oUmW1yo/edit?usp=sharing"",""เพชรบูรณ์!J164"")"),0)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IFERROR(__xludf.DUMMYFUNCTION("IMPORTRANGE(""https://docs.google.com/spreadsheets/d/11923uPwbBZFjjGgGUA6NLw09EwE0CqkOc4q9oUmW1yo/edit?usp=sharing"",""เพชรบูรณ์!I265"")"),95)</f>
        <v>95</v>
      </c>
      <c r="J370" s="203">
        <f ca="1">IFERROR(__xludf.DUMMYFUNCTION("IMPORTRANGE(""https://docs.google.com/spreadsheets/d/11923uPwbBZFjjGgGUA6NLw09EwE0CqkOc4q9oUmW1yo/edit?usp=sharing"",""เพชรบูรณ์!J265"")"),95)</f>
        <v>95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IFERROR(__xludf.DUMMYFUNCTION("IMPORTRANGE(""https://docs.google.com/spreadsheets/d/11923uPwbBZFjjGgGUA6NLw09EwE0CqkOc4q9oUmW1yo/edit?usp=sharing"",""เพชรบูรณ์!I164"")"),0)</f>
        <v>0</v>
      </c>
      <c r="J371" s="188">
        <f ca="1">IFERROR(__xludf.DUMMYFUNCTION("IMPORTRANGE(""https://docs.google.com/spreadsheets/d/11923uPwbBZFjjGgGUA6NLw09EwE0CqkOc4q9oUmW1yo/edit?usp=sharing"",""เพชรบูรณ์!J164"")"),0)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IFERROR(__xludf.DUMMYFUNCTION("IMPORTRANGE(""https://docs.google.com/spreadsheets/d/11923uPwbBZFjjGgGUA6NLw09EwE0CqkOc4q9oUmW1yo/edit?usp=sharing"",""เพชรบูรณ์!I267"")"),95)</f>
        <v>95</v>
      </c>
      <c r="J372" s="188">
        <f ca="1">IFERROR(__xludf.DUMMYFUNCTION("IMPORTRANGE(""https://docs.google.com/spreadsheets/d/11923uPwbBZFjjGgGUA6NLw09EwE0CqkOc4q9oUmW1yo/edit?usp=sharing"",""เพชรบูรณ์!J267"")"),95)</f>
        <v>95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IFERROR(__xludf.DUMMYFUNCTION("IMPORTRANGE(""https://docs.google.com/spreadsheets/d/11923uPwbBZFjjGgGUA6NLw09EwE0CqkOc4q9oUmW1yo/edit?usp=sharing"",""เพชรบูรณ์!I164"")"),0)</f>
        <v>0</v>
      </c>
      <c r="J373" s="203">
        <f ca="1">IFERROR(__xludf.DUMMYFUNCTION("IMPORTRANGE(""https://docs.google.com/spreadsheets/d/11923uPwbBZFjjGgGUA6NLw09EwE0CqkOc4q9oUmW1yo/edit?usp=sharing"",""เพชรบูรณ์!J164"")"),0)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IFERROR(__xludf.DUMMYFUNCTION("IMPORTRANGE(""https://docs.google.com/spreadsheets/d/11923uPwbBZFjjGgGUA6NLw09EwE0CqkOc4q9oUmW1yo/edit?usp=sharing"",""เพชรบูรณ์!I164"")"),0)</f>
        <v>0</v>
      </c>
      <c r="J374" s="187">
        <f ca="1">IFERROR(__xludf.DUMMYFUNCTION("IMPORTRANGE(""https://docs.google.com/spreadsheets/d/11923uPwbBZFjjGgGUA6NLw09EwE0CqkOc4q9oUmW1yo/edit?usp=sharing"",""เพชรบูรณ์!J164"")"),0)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IFERROR(__xludf.DUMMYFUNCTION("IMPORTRANGE(""https://docs.google.com/spreadsheets/d/11923uPwbBZFjjGgGUA6NLw09EwE0CqkOc4q9oUmW1yo/edit?usp=sharing"",""เพชรบูรณ์!I270"")"),425)</f>
        <v>425</v>
      </c>
      <c r="J375" s="187">
        <f ca="1">IFERROR(__xludf.DUMMYFUNCTION("IMPORTRANGE(""https://docs.google.com/spreadsheets/d/11923uPwbBZFjjGgGUA6NLw09EwE0CqkOc4q9oUmW1yo/edit?usp=sharing"",""เพชรบูรณ์!J270"")"),0)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IFERROR(__xludf.DUMMYFUNCTION("IMPORTRANGE(""https://docs.google.com/spreadsheets/d/11923uPwbBZFjjGgGUA6NLw09EwE0CqkOc4q9oUmW1yo/edit?usp=sharing"",""เพชรบูรณ์!I271"")"),150)</f>
        <v>150</v>
      </c>
      <c r="J376" s="188">
        <f ca="1">IFERROR(__xludf.DUMMYFUNCTION("IMPORTRANGE(""https://docs.google.com/spreadsheets/d/11923uPwbBZFjjGgGUA6NLw09EwE0CqkOc4q9oUmW1yo/edit?usp=sharing"",""เพชรบูรณ์!J271"")"),0)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IFERROR(__xludf.DUMMYFUNCTION("IMPORTRANGE(""https://docs.google.com/spreadsheets/d/11923uPwbBZFjjGgGUA6NLw09EwE0CqkOc4q9oUmW1yo/edit?usp=sharing"",""เพชรบูรณ์!I272"")"),275)</f>
        <v>275</v>
      </c>
      <c r="J377" s="203">
        <f ca="1">IFERROR(__xludf.DUMMYFUNCTION("IMPORTRANGE(""https://docs.google.com/spreadsheets/d/11923uPwbBZFjjGgGUA6NLw09EwE0CqkOc4q9oUmW1yo/edit?usp=sharing"",""เพชรบูรณ์!J272"")"),0)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IFERROR(__xludf.DUMMYFUNCTION("IMPORTRANGE(""https://docs.google.com/spreadsheets/d/11923uPwbBZFjjGgGUA6NLw09EwE0CqkOc4q9oUmW1yo/edit?usp=sharing"",""เพชรบูรณ์!J273"")"),0)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IFERROR(__xludf.DUMMYFUNCTION("IMPORTRANGE(""https://docs.google.com/spreadsheets/d/11923uPwbBZFjjGgGUA6NLw09EwE0CqkOc4q9oUmW1yo/edit?usp=sharing"",""เพชรบูรณ์!J274"")"),0)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IFERROR(__xludf.DUMMYFUNCTION("IMPORTRANGE(""https://docs.google.com/spreadsheets/d/11923uPwbBZFjjGgGUA6NLw09EwE0CqkOc4q9oUmW1yo/edit?usp=sharing"",""เพชรบูรณ์!I275"")"),1000)</f>
        <v>1000</v>
      </c>
      <c r="J380" s="369">
        <f ca="1">IFERROR(__xludf.DUMMYFUNCTION("IMPORTRANGE(""https://docs.google.com/spreadsheets/d/11923uPwbBZFjjGgGUA6NLw09EwE0CqkOc4q9oUmW1yo/edit?usp=sharing"",""เพชรบูรณ์!J275"")"),0)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IFERROR(__xludf.DUMMYFUNCTION("IMPORTRANGE(""https://docs.google.com/spreadsheets/d/11923uPwbBZFjjGgGUA6NLw09EwE0CqkOc4q9oUmW1yo/edit?usp=sharing"",""เพชรบูรณ์!L275"")"),1028520)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IFERROR(__xludf.DUMMYFUNCTION("IMPORTRANGE(""https://docs.google.com/spreadsheets/d/11923uPwbBZFjjGgGUA6NLw09EwE0CqkOc4q9oUmW1yo/edit?usp=sharing"",""เพชรบูรณ์!M275"")"),241391)</f>
        <v>241391</v>
      </c>
      <c r="O380" s="371">
        <f ca="1">+IF(L380&gt;0,N380*100/L380,0)</f>
        <v>23.469742931591025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IFERROR(__xludf.DUMMYFUNCTION("IMPORTRANGE(""https://docs.google.com/spreadsheets/d/11923uPwbBZFjjGgGUA6NLw09EwE0CqkOc4q9oUmW1yo/edit?usp=sharing"",""เพชรบูรณ์!I276"")"),100)</f>
        <v>100</v>
      </c>
      <c r="J381" s="369">
        <f ca="1">IFERROR(__xludf.DUMMYFUNCTION("IMPORTRANGE(""https://docs.google.com/spreadsheets/d/11923uPwbBZFjjGgGUA6NLw09EwE0CqkOc4q9oUmW1yo/edit?usp=sharing"",""เพชรบูรณ์!J276"")"),100)</f>
        <v>100</v>
      </c>
      <c r="K381" s="370">
        <f t="shared" ca="1" si="108"/>
        <v>100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IFERROR(__xludf.DUMMYFUNCTION("IMPORTRANGE(""https://docs.google.com/spreadsheets/d/11923uPwbBZFjjGgGUA6NLw09EwE0CqkOc4q9oUmW1yo/edit?usp=sharing"",""เพชรบูรณ์!L277"")"),0)</f>
        <v>0</v>
      </c>
      <c r="M382" s="164"/>
      <c r="N382" s="164">
        <f ca="1">IFERROR(__xludf.DUMMYFUNCTION("IMPORTRANGE(""https://docs.google.com/spreadsheets/d/11923uPwbBZFjjGgGUA6NLw09EwE0CqkOc4q9oUmW1yo/edit?usp=sharing"",""เพชรบูรณ์!M277"")"),0)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IFERROR(__xludf.DUMMYFUNCTION("IMPORTRANGE(""https://docs.google.com/spreadsheets/d/11923uPwbBZFjjGgGUA6NLw09EwE0CqkOc4q9oUmW1yo/edit?usp=sharing"",""เพชรบูรณ์!L278"")"),1028520)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IFERROR(__xludf.DUMMYFUNCTION("IMPORTRANGE(""https://docs.google.com/spreadsheets/d/11923uPwbBZFjjGgGUA6NLw09EwE0CqkOc4q9oUmW1yo/edit?usp=sharing"",""เพชรบูรณ์!M278"")"),241391)</f>
        <v>241391</v>
      </c>
      <c r="O383" s="165">
        <f t="shared" ca="1" si="109"/>
        <v>23.469742931591025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IFERROR(__xludf.DUMMYFUNCTION("IMPORTRANGE(""https://docs.google.com/spreadsheets/d/11923uPwbBZFjjGgGUA6NLw09EwE0CqkOc4q9oUmW1yo/edit?usp=sharing"",""เพชรบูรณ์!L279"")"),0)</f>
        <v>0</v>
      </c>
      <c r="M384" s="168"/>
      <c r="N384" s="168">
        <f ca="1">IFERROR(__xludf.DUMMYFUNCTION("IMPORTRANGE(""https://docs.google.com/spreadsheets/d/11923uPwbBZFjjGgGUA6NLw09EwE0CqkOc4q9oUmW1yo/edit?usp=sharing"",""เพชรบูรณ์!M279"")"),0)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IFERROR(__xludf.DUMMYFUNCTION("IMPORTRANGE(""https://docs.google.com/spreadsheets/d/11923uPwbBZFjjGgGUA6NLw09EwE0CqkOc4q9oUmW1yo/edit?usp=sharing"",""เพชรบูรณ์!L280"")"),1028520)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IFERROR(__xludf.DUMMYFUNCTION("IMPORTRANGE(""https://docs.google.com/spreadsheets/d/11923uPwbBZFjjGgGUA6NLw09EwE0CqkOc4q9oUmW1yo/edit?usp=sharing"",""เพชรบูรณ์!M280"")"),241391)</f>
        <v>241391</v>
      </c>
      <c r="O385" s="168">
        <f t="shared" ca="1" si="109"/>
        <v>23.469742931591025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IFERROR(__xludf.DUMMYFUNCTION("IMPORTRANGE(""https://docs.google.com/spreadsheets/d/11923uPwbBZFjjGgGUA6NLw09EwE0CqkOc4q9oUmW1yo/edit?usp=sharing"",""เพชรบูรณ์!M281"")"),156498)</f>
        <v>156498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IFERROR(__xludf.DUMMYFUNCTION("IMPORTRANGE(""https://docs.google.com/spreadsheets/d/11923uPwbBZFjjGgGUA6NLw09EwE0CqkOc4q9oUmW1yo/edit?usp=sharing"",""เพชรบูรณ์!M282"")"),0)</f>
        <v>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IFERROR(__xludf.DUMMYFUNCTION("IMPORTRANGE(""https://docs.google.com/spreadsheets/d/11923uPwbBZFjjGgGUA6NLw09EwE0CqkOc4q9oUmW1yo/edit?usp=sharing"",""เพชรบูรณ์!M283"")"),65248)</f>
        <v>65248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IFERROR(__xludf.DUMMYFUNCTION("IMPORTRANGE(""https://docs.google.com/spreadsheets/d/11923uPwbBZFjjGgGUA6NLw09EwE0CqkOc4q9oUmW1yo/edit?usp=sharing"",""เพชรบูรณ์!M284"")"),19645)</f>
        <v>19645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IFERROR(__xludf.DUMMYFUNCTION("IMPORTRANGE(""https://docs.google.com/spreadsheets/d/11923uPwbBZFjjGgGUA6NLw09EwE0CqkOc4q9oUmW1yo/edit?usp=sharing"",""เพชรบูรณ์!J286"")"),0)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IFERROR(__xludf.DUMMYFUNCTION("IMPORTRANGE(""https://docs.google.com/spreadsheets/d/11923uPwbBZFjjGgGUA6NLw09EwE0CqkOc4q9oUmW1yo/edit?usp=sharing"",""เพชรบูรณ์!J287"")"),1)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IFERROR(__xludf.DUMMYFUNCTION("IMPORTRANGE(""https://docs.google.com/spreadsheets/d/11923uPwbBZFjjGgGUA6NLw09EwE0CqkOc4q9oUmW1yo/edit?usp=sharing"",""เพชรบูรณ์!J288"")"),1)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IFERROR(__xludf.DUMMYFUNCTION("IMPORTRANGE(""https://docs.google.com/spreadsheets/d/11923uPwbBZFjjGgGUA6NLw09EwE0CqkOc4q9oUmW1yo/edit?usp=sharing"",""เพชรบูรณ์!J289"")"),1)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IFERROR(__xludf.DUMMYFUNCTION("IMPORTRANGE(""https://docs.google.com/spreadsheets/d/11923uPwbBZFjjGgGUA6NLw09EwE0CqkOc4q9oUmW1yo/edit?usp=sharing"",""เพชรบูรณ์!I291"")"),100)</f>
        <v>100</v>
      </c>
      <c r="J396" s="197">
        <f ca="1">IFERROR(__xludf.DUMMYFUNCTION("IMPORTRANGE(""https://docs.google.com/spreadsheets/d/11923uPwbBZFjjGgGUA6NLw09EwE0CqkOc4q9oUmW1yo/edit?usp=sharing"",""เพชรบูรณ์!J291"")"),100)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IFERROR(__xludf.DUMMYFUNCTION("IMPORTRANGE(""https://docs.google.com/spreadsheets/d/11923uPwbBZFjjGgGUA6NLw09EwE0CqkOc4q9oUmW1yo/edit?usp=sharing"",""เพชรบูรณ์!I292"")"),1000)</f>
        <v>1000</v>
      </c>
      <c r="J397" s="197">
        <f ca="1">IFERROR(__xludf.DUMMYFUNCTION("IMPORTRANGE(""https://docs.google.com/spreadsheets/d/11923uPwbBZFjjGgGUA6NLw09EwE0CqkOc4q9oUmW1yo/edit?usp=sharing"",""เพชรบูรณ์!J292"")"),0)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IFERROR(__xludf.DUMMYFUNCTION("IMPORTRANGE(""https://docs.google.com/spreadsheets/d/11923uPwbBZFjjGgGUA6NLw09EwE0CqkOc4q9oUmW1yo/edit?usp=sharing"",""เพชรบูรณ์!I293"")"),100)</f>
        <v>100</v>
      </c>
      <c r="J398" s="197">
        <f ca="1">IFERROR(__xludf.DUMMYFUNCTION("IMPORTRANGE(""https://docs.google.com/spreadsheets/d/11923uPwbBZFjjGgGUA6NLw09EwE0CqkOc4q9oUmW1yo/edit?usp=sharing"",""เพชรบูรณ์!J293"")"),0)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IFERROR(__xludf.DUMMYFUNCTION("IMPORTRANGE(""https://docs.google.com/spreadsheets/d/11923uPwbBZFjjGgGUA6NLw09EwE0CqkOc4q9oUmW1yo/edit?usp=sharing"",""เพชรบูรณ์!J294"")"),0)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IFERROR(__xludf.DUMMYFUNCTION("IMPORTRANGE(""https://docs.google.com/spreadsheets/d/11923uPwbBZFjjGgGUA6NLw09EwE0CqkOc4q9oUmW1yo/edit?usp=sharing"",""เพชรบูรณ์!J295"")"),0)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IFERROR(__xludf.DUMMYFUNCTION("IMPORTRANGE(""https://docs.google.com/spreadsheets/d/11923uPwbBZFjjGgGUA6NLw09EwE0CqkOc4q9oUmW1yo/edit?usp=sharing"",""เพชรบูรณ์!I296"")"),219)</f>
        <v>219</v>
      </c>
      <c r="J401" s="369">
        <f ca="1">IFERROR(__xludf.DUMMYFUNCTION("IMPORTRANGE(""https://docs.google.com/spreadsheets/d/11923uPwbBZFjjGgGUA6NLw09EwE0CqkOc4q9oUmW1yo/edit?usp=sharing"",""เพชรบูรณ์!J296"")"),0)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IFERROR(__xludf.DUMMYFUNCTION("IMPORTRANGE(""https://docs.google.com/spreadsheets/d/11923uPwbBZFjjGgGUA6NLw09EwE0CqkOc4q9oUmW1yo/edit?usp=sharing"",""เพชรบูรณ์!L296"")"),244540)</f>
        <v>244540</v>
      </c>
      <c r="M401" s="371"/>
      <c r="N401" s="371">
        <f ca="1">IFERROR(__xludf.DUMMYFUNCTION("IMPORTRANGE(""https://docs.google.com/spreadsheets/d/11923uPwbBZFjjGgGUA6NLw09EwE0CqkOc4q9oUmW1yo/edit?usp=sharing"",""เพชรบูรณ์!M296"")"),145555)</f>
        <v>145555</v>
      </c>
      <c r="O401" s="371">
        <f ca="1">+IF(L401&gt;0,N401*100/L401,0)</f>
        <v>59.52195959761184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IFERROR(__xludf.DUMMYFUNCTION("IMPORTRANGE(""https://docs.google.com/spreadsheets/d/11923uPwbBZFjjGgGUA6NLw09EwE0CqkOc4q9oUmW1yo/edit?usp=sharing"",""เพชรบูรณ์!I297"")"),73)</f>
        <v>73</v>
      </c>
      <c r="J402" s="369">
        <f ca="1">IFERROR(__xludf.DUMMYFUNCTION("IMPORTRANGE(""https://docs.google.com/spreadsheets/d/11923uPwbBZFjjGgGUA6NLw09EwE0CqkOc4q9oUmW1yo/edit?usp=sharing"",""เพชรบูรณ์!J297"")"),0)</f>
        <v>0</v>
      </c>
      <c r="K402" s="370">
        <f t="shared" ca="1" si="111"/>
        <v>0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IFERROR(__xludf.DUMMYFUNCTION("IMPORTRANGE(""https://docs.google.com/spreadsheets/d/11923uPwbBZFjjGgGUA6NLw09EwE0CqkOc4q9oUmW1yo/edit?usp=sharing"",""เพชรบูรณ์!L298"")"),0)</f>
        <v>0</v>
      </c>
      <c r="M403" s="164"/>
      <c r="N403" s="168">
        <f ca="1">IFERROR(__xludf.DUMMYFUNCTION("IMPORTRANGE(""https://docs.google.com/spreadsheets/d/11923uPwbBZFjjGgGUA6NLw09EwE0CqkOc4q9oUmW1yo/edit?usp=sharing"",""เพชรบูรณ์!M298"")"),0)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IFERROR(__xludf.DUMMYFUNCTION("IMPORTRANGE(""https://docs.google.com/spreadsheets/d/11923uPwbBZFjjGgGUA6NLw09EwE0CqkOc4q9oUmW1yo/edit?usp=sharing"",""เพชรบูรณ์!L299"")"),244540)</f>
        <v>244540</v>
      </c>
      <c r="M404" s="165"/>
      <c r="N404" s="168">
        <f ca="1">IFERROR(__xludf.DUMMYFUNCTION("IMPORTRANGE(""https://docs.google.com/spreadsheets/d/11923uPwbBZFjjGgGUA6NLw09EwE0CqkOc4q9oUmW1yo/edit?usp=sharing"",""เพชรบูรณ์!M299"")"),145555)</f>
        <v>145555</v>
      </c>
      <c r="O404" s="168">
        <f t="shared" ca="1" si="112"/>
        <v>59.52195959761184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IFERROR(__xludf.DUMMYFUNCTION("IMPORTRANGE(""https://docs.google.com/spreadsheets/d/11923uPwbBZFjjGgGUA6NLw09EwE0CqkOc4q9oUmW1yo/edit?usp=sharing"",""เพชรบูรณ์!L300"")"),0)</f>
        <v>0</v>
      </c>
      <c r="M405" s="168"/>
      <c r="N405" s="168">
        <f ca="1">IFERROR(__xludf.DUMMYFUNCTION("IMPORTRANGE(""https://docs.google.com/spreadsheets/d/11923uPwbBZFjjGgGUA6NLw09EwE0CqkOc4q9oUmW1yo/edit?usp=sharing"",""เพชรบูรณ์!M300"")"),0)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IFERROR(__xludf.DUMMYFUNCTION("IMPORTRANGE(""https://docs.google.com/spreadsheets/d/11923uPwbBZFjjGgGUA6NLw09EwE0CqkOc4q9oUmW1yo/edit?usp=sharing"",""เพชรบูรณ์!L301"")"),244540)</f>
        <v>244540</v>
      </c>
      <c r="M406" s="168"/>
      <c r="N406" s="168">
        <f ca="1">IFERROR(__xludf.DUMMYFUNCTION("IMPORTRANGE(""https://docs.google.com/spreadsheets/d/11923uPwbBZFjjGgGUA6NLw09EwE0CqkOc4q9oUmW1yo/edit?usp=sharing"",""เพชรบูรณ์!M301"")"),145555)</f>
        <v>145555</v>
      </c>
      <c r="O406" s="168">
        <f t="shared" ca="1" si="112"/>
        <v>59.52195959761184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IFERROR(__xludf.DUMMYFUNCTION("IMPORTRANGE(""https://docs.google.com/spreadsheets/d/11923uPwbBZFjjGgGUA6NLw09EwE0CqkOc4q9oUmW1yo/edit?usp=sharing"",""เพชรบูรณ์!M302"")"),105155)</f>
        <v>105155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IFERROR(__xludf.DUMMYFUNCTION("IMPORTRANGE(""https://docs.google.com/spreadsheets/d/11923uPwbBZFjjGgGUA6NLw09EwE0CqkOc4q9oUmW1yo/edit?usp=sharing"",""เพชรบูรณ์!M303"")"),37500)</f>
        <v>37500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IFERROR(__xludf.DUMMYFUNCTION("IMPORTRANGE(""https://docs.google.com/spreadsheets/d/11923uPwbBZFjjGgGUA6NLw09EwE0CqkOc4q9oUmW1yo/edit?usp=sharing"",""เพชรบูรณ์!M304"")"),0)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IFERROR(__xludf.DUMMYFUNCTION("IMPORTRANGE(""https://docs.google.com/spreadsheets/d/11923uPwbBZFjjGgGUA6NLw09EwE0CqkOc4q9oUmW1yo/edit?usp=sharing"",""เพชรบูรณ์!M305"")"),2900)</f>
        <v>2900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IFERROR(__xludf.DUMMYFUNCTION("IMPORTRANGE(""https://docs.google.com/spreadsheets/d/11923uPwbBZFjjGgGUA6NLw09EwE0CqkOc4q9oUmW1yo/edit?usp=sharing"",""เพชรบูรณ์!J307"")"),0)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IFERROR(__xludf.DUMMYFUNCTION("IMPORTRANGE(""https://docs.google.com/spreadsheets/d/11923uPwbBZFjjGgGUA6NLw09EwE0CqkOc4q9oUmW1yo/edit?usp=sharing"",""เพชรบูรณ์!J308"")"),1)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IFERROR(__xludf.DUMMYFUNCTION("IMPORTRANGE(""https://docs.google.com/spreadsheets/d/11923uPwbBZFjjGgGUA6NLw09EwE0CqkOc4q9oUmW1yo/edit?usp=sharing"",""เพชรบูรณ์!J309"")"),1)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IFERROR(__xludf.DUMMYFUNCTION("IMPORTRANGE(""https://docs.google.com/spreadsheets/d/11923uPwbBZFjjGgGUA6NLw09EwE0CqkOc4q9oUmW1yo/edit?usp=sharing"",""เพชรบูรณ์!J310"")"),1)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IFERROR(__xludf.DUMMYFUNCTION("IMPORTRANGE(""https://docs.google.com/spreadsheets/d/11923uPwbBZFjjGgGUA6NLw09EwE0CqkOc4q9oUmW1yo/edit?usp=sharing"",""เพชรบูรณ์!I311"")"),73)</f>
        <v>73</v>
      </c>
      <c r="J416" s="200">
        <f ca="1">IFERROR(__xludf.DUMMYFUNCTION("IMPORTRANGE(""https://docs.google.com/spreadsheets/d/11923uPwbBZFjjGgGUA6NLw09EwE0CqkOc4q9oUmW1yo/edit?usp=sharing"",""เพชรบูรณ์!J311"")"),0)</f>
        <v>0</v>
      </c>
      <c r="K416" s="201">
        <f t="shared" ref="K416:K432" ca="1" si="113">IF(I416&gt;0,J416*100/I416,0)</f>
        <v>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IFERROR(__xludf.DUMMYFUNCTION("IMPORTRANGE(""https://docs.google.com/spreadsheets/d/11923uPwbBZFjjGgGUA6NLw09EwE0CqkOc4q9oUmW1yo/edit?usp=sharing"",""เพชรบูรณ์!I312"")"),25)</f>
        <v>25</v>
      </c>
      <c r="J417" s="390">
        <f ca="1">IFERROR(__xludf.DUMMYFUNCTION("IMPORTRANGE(""https://docs.google.com/spreadsheets/d/11923uPwbBZFjjGgGUA6NLw09EwE0CqkOc4q9oUmW1yo/edit?usp=sharing"",""เพชรบูรณ์!J312"")"),0)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IFERROR(__xludf.DUMMYFUNCTION("IMPORTRANGE(""https://docs.google.com/spreadsheets/d/11923uPwbBZFjjGgGUA6NLw09EwE0CqkOc4q9oUmW1yo/edit?usp=sharing"",""เพชรบูรณ์!I313"")"),75)</f>
        <v>75</v>
      </c>
      <c r="J418" s="391">
        <f ca="1">IFERROR(__xludf.DUMMYFUNCTION("IMPORTRANGE(""https://docs.google.com/spreadsheets/d/11923uPwbBZFjjGgGUA6NLw09EwE0CqkOc4q9oUmW1yo/edit?usp=sharing"",""เพชรบูรณ์!J313"")"),0)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IFERROR(__xludf.DUMMYFUNCTION("IMPORTRANGE(""https://docs.google.com/spreadsheets/d/11923uPwbBZFjjGgGUA6NLw09EwE0CqkOc4q9oUmW1yo/edit?usp=sharing"",""เพชรบูรณ์!I314"")"),25)</f>
        <v>25</v>
      </c>
      <c r="J419" s="392">
        <f ca="1">IFERROR(__xludf.DUMMYFUNCTION("IMPORTRANGE(""https://docs.google.com/spreadsheets/d/11923uPwbBZFjjGgGUA6NLw09EwE0CqkOc4q9oUmW1yo/edit?usp=sharing"",""เพชรบูรณ์!J314"")"),0)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IFERROR(__xludf.DUMMYFUNCTION("IMPORTRANGE(""https://docs.google.com/spreadsheets/d/11923uPwbBZFjjGgGUA6NLw09EwE0CqkOc4q9oUmW1yo/edit?usp=sharing"",""เพชรบูรณ์!I315"")"),25)</f>
        <v>25</v>
      </c>
      <c r="J420" s="392">
        <f ca="1">IFERROR(__xludf.DUMMYFUNCTION("IMPORTRANGE(""https://docs.google.com/spreadsheets/d/11923uPwbBZFjjGgGUA6NLw09EwE0CqkOc4q9oUmW1yo/edit?usp=sharing"",""เพชรบูรณ์!J315"")"),25)</f>
        <v>25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IFERROR(__xludf.DUMMYFUNCTION("IMPORTRANGE(""https://docs.google.com/spreadsheets/d/11923uPwbBZFjjGgGUA6NLw09EwE0CqkOc4q9oUmW1yo/edit?usp=sharing"",""เพชรบูรณ์!I316"")"),38)</f>
        <v>38</v>
      </c>
      <c r="J421" s="390">
        <f ca="1">IFERROR(__xludf.DUMMYFUNCTION("IMPORTRANGE(""https://docs.google.com/spreadsheets/d/11923uPwbBZFjjGgGUA6NLw09EwE0CqkOc4q9oUmW1yo/edit?usp=sharing"",""เพชรบูรณ์!J316"")"),0)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IFERROR(__xludf.DUMMYFUNCTION("IMPORTRANGE(""https://docs.google.com/spreadsheets/d/11923uPwbBZFjjGgGUA6NLw09EwE0CqkOc4q9oUmW1yo/edit?usp=sharing"",""เพชรบูรณ์!I317"")"),114)</f>
        <v>114</v>
      </c>
      <c r="J422" s="391">
        <f ca="1">IFERROR(__xludf.DUMMYFUNCTION("IMPORTRANGE(""https://docs.google.com/spreadsheets/d/11923uPwbBZFjjGgGUA6NLw09EwE0CqkOc4q9oUmW1yo/edit?usp=sharing"",""เพชรบูรณ์!J317"")"),0)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IFERROR(__xludf.DUMMYFUNCTION("IMPORTRANGE(""https://docs.google.com/spreadsheets/d/11923uPwbBZFjjGgGUA6NLw09EwE0CqkOc4q9oUmW1yo/edit?usp=sharing"",""เพชรบูรณ์!I318"")"),38)</f>
        <v>38</v>
      </c>
      <c r="J423" s="392">
        <f ca="1">IFERROR(__xludf.DUMMYFUNCTION("IMPORTRANGE(""https://docs.google.com/spreadsheets/d/11923uPwbBZFjjGgGUA6NLw09EwE0CqkOc4q9oUmW1yo/edit?usp=sharing"",""เพชรบูรณ์!J318"")"),0)</f>
        <v>0</v>
      </c>
      <c r="K423" s="163">
        <f t="shared" ca="1" si="113"/>
        <v>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IFERROR(__xludf.DUMMYFUNCTION("IMPORTRANGE(""https://docs.google.com/spreadsheets/d/11923uPwbBZFjjGgGUA6NLw09EwE0CqkOc4q9oUmW1yo/edit?usp=sharing"",""เพชรบูรณ์!I319"")"),38)</f>
        <v>38</v>
      </c>
      <c r="J424" s="392">
        <f ca="1">IFERROR(__xludf.DUMMYFUNCTION("IMPORTRANGE(""https://docs.google.com/spreadsheets/d/11923uPwbBZFjjGgGUA6NLw09EwE0CqkOc4q9oUmW1yo/edit?usp=sharing"",""เพชรบูรณ์!J319"")"),0)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IFERROR(__xludf.DUMMYFUNCTION("IMPORTRANGE(""https://docs.google.com/spreadsheets/d/11923uPwbBZFjjGgGUA6NLw09EwE0CqkOc4q9oUmW1yo/edit?usp=sharing"",""เพชรบูรณ์!I320"")"),38)</f>
        <v>38</v>
      </c>
      <c r="J425" s="392">
        <f ca="1">IFERROR(__xludf.DUMMYFUNCTION("IMPORTRANGE(""https://docs.google.com/spreadsheets/d/11923uPwbBZFjjGgGUA6NLw09EwE0CqkOc4q9oUmW1yo/edit?usp=sharing"",""เพชรบูรณ์!J320"")"),0)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IFERROR(__xludf.DUMMYFUNCTION("IMPORTRANGE(""https://docs.google.com/spreadsheets/d/11923uPwbBZFjjGgGUA6NLw09EwE0CqkOc4q9oUmW1yo/edit?usp=sharing"",""เพชรบูรณ์!I321"")"),10)</f>
        <v>10</v>
      </c>
      <c r="J426" s="390">
        <f ca="1">IFERROR(__xludf.DUMMYFUNCTION("IMPORTRANGE(""https://docs.google.com/spreadsheets/d/11923uPwbBZFjjGgGUA6NLw09EwE0CqkOc4q9oUmW1yo/edit?usp=sharing"",""เพชรบูรณ์!J321"")"),0)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IFERROR(__xludf.DUMMYFUNCTION("IMPORTRANGE(""https://docs.google.com/spreadsheets/d/11923uPwbBZFjjGgGUA6NLw09EwE0CqkOc4q9oUmW1yo/edit?usp=sharing"",""เพชรบูรณ์!I322"")"),30)</f>
        <v>30</v>
      </c>
      <c r="J427" s="391">
        <f ca="1">IFERROR(__xludf.DUMMYFUNCTION("IMPORTRANGE(""https://docs.google.com/spreadsheets/d/11923uPwbBZFjjGgGUA6NLw09EwE0CqkOc4q9oUmW1yo/edit?usp=sharing"",""เพชรบูรณ์!J322"")"),0)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IFERROR(__xludf.DUMMYFUNCTION("IMPORTRANGE(""https://docs.google.com/spreadsheets/d/11923uPwbBZFjjGgGUA6NLw09EwE0CqkOc4q9oUmW1yo/edit?usp=sharing"",""เพชรบูรณ์!I323"")"),10)</f>
        <v>10</v>
      </c>
      <c r="J428" s="392">
        <f ca="1">IFERROR(__xludf.DUMMYFUNCTION("IMPORTRANGE(""https://docs.google.com/spreadsheets/d/11923uPwbBZFjjGgGUA6NLw09EwE0CqkOc4q9oUmW1yo/edit?usp=sharing"",""เพชรบูรณ์!J323"")"),0)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IFERROR(__xludf.DUMMYFUNCTION("IMPORTRANGE(""https://docs.google.com/spreadsheets/d/11923uPwbBZFjjGgGUA6NLw09EwE0CqkOc4q9oUmW1yo/edit?usp=sharing"",""เพชรบูรณ์!I324"")"),10)</f>
        <v>10</v>
      </c>
      <c r="J429" s="392">
        <f ca="1">IFERROR(__xludf.DUMMYFUNCTION("IMPORTRANGE(""https://docs.google.com/spreadsheets/d/11923uPwbBZFjjGgGUA6NLw09EwE0CqkOc4q9oUmW1yo/edit?usp=sharing"",""เพชรบูรณ์!J324"")"),0)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IFERROR(__xludf.DUMMYFUNCTION("IMPORTRANGE(""https://docs.google.com/spreadsheets/d/11923uPwbBZFjjGgGUA6NLw09EwE0CqkOc4q9oUmW1yo/edit?usp=sharing"",""เพชรบูรณ์!I325"")"),63)</f>
        <v>63</v>
      </c>
      <c r="J430" s="390">
        <f ca="1">IFERROR(__xludf.DUMMYFUNCTION("IMPORTRANGE(""https://docs.google.com/spreadsheets/d/11923uPwbBZFjjGgGUA6NLw09EwE0CqkOc4q9oUmW1yo/edit?usp=sharing"",""เพชรบูรณ์!J325"")"),0)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IFERROR(__xludf.DUMMYFUNCTION("IMPORTRANGE(""https://docs.google.com/spreadsheets/d/11923uPwbBZFjjGgGUA6NLw09EwE0CqkOc4q9oUmW1yo/edit?usp=sharing"",""เพชรบูรณ์!I326"")"),25)</f>
        <v>25</v>
      </c>
      <c r="J431" s="392">
        <f ca="1">IFERROR(__xludf.DUMMYFUNCTION("IMPORTRANGE(""https://docs.google.com/spreadsheets/d/11923uPwbBZFjjGgGUA6NLw09EwE0CqkOc4q9oUmW1yo/edit?usp=sharing"",""เพชรบูรณ์!J326"")"),0)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IFERROR(__xludf.DUMMYFUNCTION("IMPORTRANGE(""https://docs.google.com/spreadsheets/d/11923uPwbBZFjjGgGUA6NLw09EwE0CqkOc4q9oUmW1yo/edit?usp=sharing"",""เพชรบูรณ์!I327"")"),38)</f>
        <v>38</v>
      </c>
      <c r="J432" s="392">
        <f ca="1">IFERROR(__xludf.DUMMYFUNCTION("IMPORTRANGE(""https://docs.google.com/spreadsheets/d/11923uPwbBZFjjGgGUA6NLw09EwE0CqkOc4q9oUmW1yo/edit?usp=sharing"",""เพชรบูรณ์!J327"")"),0)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IFERROR(__xludf.DUMMYFUNCTION("IMPORTRANGE(""https://docs.google.com/spreadsheets/d/11923uPwbBZFjjGgGUA6NLw09EwE0CqkOc4q9oUmW1yo/edit?usp=sharing"",""เพชรบูรณ์!J328"")"),0)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IFERROR(__xludf.DUMMYFUNCTION("IMPORTRANGE(""https://docs.google.com/spreadsheets/d/11923uPwbBZFjjGgGUA6NLw09EwE0CqkOc4q9oUmW1yo/edit?usp=sharing"",""เพชรบูรณ์!J329"")"),0)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IFERROR(__xludf.DUMMYFUNCTION("IMPORTRANGE(""https://docs.google.com/spreadsheets/d/11923uPwbBZFjjGgGUA6NLw09EwE0CqkOc4q9oUmW1yo/edit?usp=sharing"",""เพชรบูรณ์!I330"")"),40)</f>
        <v>40</v>
      </c>
      <c r="J435" s="408">
        <f ca="1">IFERROR(__xludf.DUMMYFUNCTION("IMPORTRANGE(""https://docs.google.com/spreadsheets/d/11923uPwbBZFjjGgGUA6NLw09EwE0CqkOc4q9oUmW1yo/edit?usp=sharing"",""เพชรบูรณ์!J330"")"),40)</f>
        <v>40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IFERROR(__xludf.DUMMYFUNCTION("IMPORTRANGE(""https://docs.google.com/spreadsheets/d/11923uPwbBZFjjGgGUA6NLw09EwE0CqkOc4q9oUmW1yo/edit?usp=sharing"",""เพชรบูรณ์!L330"")"),162000)</f>
        <v>162000</v>
      </c>
      <c r="M435" s="410"/>
      <c r="N435" s="410">
        <f ca="1">IFERROR(__xludf.DUMMYFUNCTION("IMPORTRANGE(""https://docs.google.com/spreadsheets/d/11923uPwbBZFjjGgGUA6NLw09EwE0CqkOc4q9oUmW1yo/edit?usp=sharing"",""เพชรบูรณ์!M330"")"),96709.5)</f>
        <v>96709.5</v>
      </c>
      <c r="O435" s="410">
        <f t="shared" ref="O435:O439" ca="1" si="114">+IF(L435&gt;0,N435*100/L435,0)</f>
        <v>59.697222222222223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IFERROR(__xludf.DUMMYFUNCTION("IMPORTRANGE(""https://docs.google.com/spreadsheets/d/11923uPwbBZFjjGgGUA6NLw09EwE0CqkOc4q9oUmW1yo/edit?usp=sharing"",""เพชรบูรณ์!L331"")"),0)</f>
        <v>0</v>
      </c>
      <c r="M436" s="164"/>
      <c r="N436" s="168">
        <f ca="1">IFERROR(__xludf.DUMMYFUNCTION("IMPORTRANGE(""https://docs.google.com/spreadsheets/d/11923uPwbBZFjjGgGUA6NLw09EwE0CqkOc4q9oUmW1yo/edit?usp=sharing"",""เพชรบูรณ์!M331"")"),0)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IFERROR(__xludf.DUMMYFUNCTION("IMPORTRANGE(""https://docs.google.com/spreadsheets/d/11923uPwbBZFjjGgGUA6NLw09EwE0CqkOc4q9oUmW1yo/edit?usp=sharing"",""เพชรบูรณ์!L332"")"),162000)</f>
        <v>162000</v>
      </c>
      <c r="M437" s="165"/>
      <c r="N437" s="168">
        <f ca="1">IFERROR(__xludf.DUMMYFUNCTION("IMPORTRANGE(""https://docs.google.com/spreadsheets/d/11923uPwbBZFjjGgGUA6NLw09EwE0CqkOc4q9oUmW1yo/edit?usp=sharing"",""เพชรบูรณ์!M332"")"),96709.5)</f>
        <v>96709.5</v>
      </c>
      <c r="O437" s="168">
        <f t="shared" ca="1" si="114"/>
        <v>59.697222222222223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IFERROR(__xludf.DUMMYFUNCTION("IMPORTRANGE(""https://docs.google.com/spreadsheets/d/11923uPwbBZFjjGgGUA6NLw09EwE0CqkOc4q9oUmW1yo/edit?usp=sharing"",""เพชรบูรณ์!L333"")"),0)</f>
        <v>0</v>
      </c>
      <c r="M438" s="168"/>
      <c r="N438" s="168">
        <f ca="1">IFERROR(__xludf.DUMMYFUNCTION("IMPORTRANGE(""https://docs.google.com/spreadsheets/d/11923uPwbBZFjjGgGUA6NLw09EwE0CqkOc4q9oUmW1yo/edit?usp=sharing"",""เพชรบูรณ์!M333"")"),0)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IFERROR(__xludf.DUMMYFUNCTION("IMPORTRANGE(""https://docs.google.com/spreadsheets/d/11923uPwbBZFjjGgGUA6NLw09EwE0CqkOc4q9oUmW1yo/edit?usp=sharing"",""เพชรบูรณ์!L334"")"),162000)</f>
        <v>162000</v>
      </c>
      <c r="M439" s="168"/>
      <c r="N439" s="168">
        <f ca="1">IFERROR(__xludf.DUMMYFUNCTION("IMPORTRANGE(""https://docs.google.com/spreadsheets/d/11923uPwbBZFjjGgGUA6NLw09EwE0CqkOc4q9oUmW1yo/edit?usp=sharing"",""เพชรบูรณ์!M334"")"),96709.5)</f>
        <v>96709.5</v>
      </c>
      <c r="O439" s="168">
        <f t="shared" ca="1" si="114"/>
        <v>59.697222222222223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IFERROR(__xludf.DUMMYFUNCTION("IMPORTRANGE(""https://docs.google.com/spreadsheets/d/11923uPwbBZFjjGgGUA6NLw09EwE0CqkOc4q9oUmW1yo/edit?usp=sharing"",""เพชรบูรณ์!M335"")"),88199.5)</f>
        <v>88199.5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IFERROR(__xludf.DUMMYFUNCTION("IMPORTRANGE(""https://docs.google.com/spreadsheets/d/11923uPwbBZFjjGgGUA6NLw09EwE0CqkOc4q9oUmW1yo/edit?usp=sharing"",""เพชรบูรณ์!M336"")"),0)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IFERROR(__xludf.DUMMYFUNCTION("IMPORTRANGE(""https://docs.google.com/spreadsheets/d/11923uPwbBZFjjGgGUA6NLw09EwE0CqkOc4q9oUmW1yo/edit?usp=sharing"",""เพชรบูรณ์!M337"")"),0)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IFERROR(__xludf.DUMMYFUNCTION("IMPORTRANGE(""https://docs.google.com/spreadsheets/d/11923uPwbBZFjjGgGUA6NLw09EwE0CqkOc4q9oUmW1yo/edit?usp=sharing"",""เพชรบูรณ์!M338"")"),8510)</f>
        <v>8510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IFERROR(__xludf.DUMMYFUNCTION("IMPORTRANGE(""https://docs.google.com/spreadsheets/d/11923uPwbBZFjjGgGUA6NLw09EwE0CqkOc4q9oUmW1yo/edit?usp=sharing"",""เพชรบูรณ์!J340"")"),0)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IFERROR(__xludf.DUMMYFUNCTION("IMPORTRANGE(""https://docs.google.com/spreadsheets/d/11923uPwbBZFjjGgGUA6NLw09EwE0CqkOc4q9oUmW1yo/edit?usp=sharing"",""เพชรบูรณ์!J341"")"),1)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IFERROR(__xludf.DUMMYFUNCTION("IMPORTRANGE(""https://docs.google.com/spreadsheets/d/11923uPwbBZFjjGgGUA6NLw09EwE0CqkOc4q9oUmW1yo/edit?usp=sharing"",""เพชรบูรณ์!J342"")"),1)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IFERROR(__xludf.DUMMYFUNCTION("IMPORTRANGE(""https://docs.google.com/spreadsheets/d/11923uPwbBZFjjGgGUA6NLw09EwE0CqkOc4q9oUmW1yo/edit?usp=sharing"",""เพชรบูรณ์!J343"")"),1)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IFERROR(__xludf.DUMMYFUNCTION("IMPORTRANGE(""https://docs.google.com/spreadsheets/d/11923uPwbBZFjjGgGUA6NLw09EwE0CqkOc4q9oUmW1yo/edit?usp=sharing"",""เพชรบูรณ์!I344"")"),40)</f>
        <v>40</v>
      </c>
      <c r="J449" s="200">
        <f ca="1">IFERROR(__xludf.DUMMYFUNCTION("IMPORTRANGE(""https://docs.google.com/spreadsheets/d/11923uPwbBZFjjGgGUA6NLw09EwE0CqkOc4q9oUmW1yo/edit?usp=sharing"",""เพชรบูรณ์!J344"")"),40)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IFERROR(__xludf.DUMMYFUNCTION("IMPORTRANGE(""https://docs.google.com/spreadsheets/d/11923uPwbBZFjjGgGUA6NLw09EwE0CqkOc4q9oUmW1yo/edit?usp=sharing"",""เพชรบูรณ์!I345"")"),40)</f>
        <v>40</v>
      </c>
      <c r="J450" s="188">
        <f ca="1">IFERROR(__xludf.DUMMYFUNCTION("IMPORTRANGE(""https://docs.google.com/spreadsheets/d/11923uPwbBZFjjGgGUA6NLw09EwE0CqkOc4q9oUmW1yo/edit?usp=sharing"",""เพชรบูรณ์!J345"")"),40)</f>
        <v>40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IFERROR(__xludf.DUMMYFUNCTION("IMPORTRANGE(""https://docs.google.com/spreadsheets/d/11923uPwbBZFjjGgGUA6NLw09EwE0CqkOc4q9oUmW1yo/edit?usp=sharing"",""เพชรบูรณ์!I346"")"),0)</f>
        <v>0</v>
      </c>
      <c r="J451" s="187">
        <f ca="1">IFERROR(__xludf.DUMMYFUNCTION("IMPORTRANGE(""https://docs.google.com/spreadsheets/d/11923uPwbBZFjjGgGUA6NLw09EwE0CqkOc4q9oUmW1yo/edit?usp=sharing"",""เพชรบูรณ์!J346"")"),0)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IFERROR(__xludf.DUMMYFUNCTION("IMPORTRANGE(""https://docs.google.com/spreadsheets/d/11923uPwbBZFjjGgGUA6NLw09EwE0CqkOc4q9oUmW1yo/edit?usp=sharing"",""เพชรบูรณ์!I347"")"),0)</f>
        <v>0</v>
      </c>
      <c r="J452" s="187">
        <f ca="1">IFERROR(__xludf.DUMMYFUNCTION("IMPORTRANGE(""https://docs.google.com/spreadsheets/d/11923uPwbBZFjjGgGUA6NLw09EwE0CqkOc4q9oUmW1yo/edit?usp=sharing"",""เพชรบูรณ์!J347"")"),0)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IFERROR(__xludf.DUMMYFUNCTION("IMPORTRANGE(""https://docs.google.com/spreadsheets/d/11923uPwbBZFjjGgGUA6NLw09EwE0CqkOc4q9oUmW1yo/edit?usp=sharing"",""เพชรบูรณ์!J348"")"),0)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IFERROR(__xludf.DUMMYFUNCTION("IMPORTRANGE(""https://docs.google.com/spreadsheets/d/11923uPwbBZFjjGgGUA6NLw09EwE0CqkOc4q9oUmW1yo/edit?usp=sharing"",""เพชรบูรณ์!J349"")"),0)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IFERROR(__xludf.DUMMYFUNCTION("IMPORTRANGE(""https://docs.google.com/spreadsheets/d/11923uPwbBZFjjGgGUA6NLw09EwE0CqkOc4q9oUmW1yo/edit?usp=sharing"",""เพชรบูรณ์!I350"")"),55704)</f>
        <v>55704</v>
      </c>
      <c r="J455" s="369">
        <f ca="1">IFERROR(__xludf.DUMMYFUNCTION("IMPORTRANGE(""https://docs.google.com/spreadsheets/d/11923uPwbBZFjjGgGUA6NLw09EwE0CqkOc4q9oUmW1yo/edit?usp=sharing"",""เพชรบูรณ์!J350"")"),0)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IFERROR(__xludf.DUMMYFUNCTION("IMPORTRANGE(""https://docs.google.com/spreadsheets/d/11923uPwbBZFjjGgGUA6NLw09EwE0CqkOc4q9oUmW1yo/edit?usp=sharing"",""เพชรบูรณ์!L350"")"),527976)</f>
        <v>527976</v>
      </c>
      <c r="M455" s="371"/>
      <c r="N455" s="371">
        <f ca="1">IFERROR(__xludf.DUMMYFUNCTION("IMPORTRANGE(""https://docs.google.com/spreadsheets/d/11923uPwbBZFjjGgGUA6NLw09EwE0CqkOc4q9oUmW1yo/edit?usp=sharing"",""เพชรบูรณ์!M350"")"),85620)</f>
        <v>85620</v>
      </c>
      <c r="O455" s="371">
        <f t="shared" ref="O455:O459" ca="1" si="116">+IF(L455&gt;0,N455*100/L455,0)</f>
        <v>16.216646211191417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IFERROR(__xludf.DUMMYFUNCTION("IMPORTRANGE(""https://docs.google.com/spreadsheets/d/11923uPwbBZFjjGgGUA6NLw09EwE0CqkOc4q9oUmW1yo/edit?usp=sharing"",""เพชรบูรณ์!L351"")"),0)</f>
        <v>0</v>
      </c>
      <c r="M456" s="164"/>
      <c r="N456" s="168">
        <f ca="1">IFERROR(__xludf.DUMMYFUNCTION("IMPORTRANGE(""https://docs.google.com/spreadsheets/d/11923uPwbBZFjjGgGUA6NLw09EwE0CqkOc4q9oUmW1yo/edit?usp=sharing"",""เพชรบูรณ์!M351"")"),0)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IFERROR(__xludf.DUMMYFUNCTION("IMPORTRANGE(""https://docs.google.com/spreadsheets/d/11923uPwbBZFjjGgGUA6NLw09EwE0CqkOc4q9oUmW1yo/edit?usp=sharing"",""เพชรบูรณ์!L352"")"),527976)</f>
        <v>527976</v>
      </c>
      <c r="M457" s="165"/>
      <c r="N457" s="168">
        <f ca="1">IFERROR(__xludf.DUMMYFUNCTION("IMPORTRANGE(""https://docs.google.com/spreadsheets/d/11923uPwbBZFjjGgGUA6NLw09EwE0CqkOc4q9oUmW1yo/edit?usp=sharing"",""เพชรบูรณ์!M352"")"),85620)</f>
        <v>85620</v>
      </c>
      <c r="O457" s="168">
        <f t="shared" ca="1" si="116"/>
        <v>16.216646211191417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IFERROR(__xludf.DUMMYFUNCTION("IMPORTRANGE(""https://docs.google.com/spreadsheets/d/11923uPwbBZFjjGgGUA6NLw09EwE0CqkOc4q9oUmW1yo/edit?usp=sharing"",""เพชรบูรณ์!L353"")"),0)</f>
        <v>0</v>
      </c>
      <c r="M458" s="168"/>
      <c r="N458" s="168">
        <f ca="1">IFERROR(__xludf.DUMMYFUNCTION("IMPORTRANGE(""https://docs.google.com/spreadsheets/d/11923uPwbBZFjjGgGUA6NLw09EwE0CqkOc4q9oUmW1yo/edit?usp=sharing"",""เพชรบูรณ์!M353"")"),0)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IFERROR(__xludf.DUMMYFUNCTION("IMPORTRANGE(""https://docs.google.com/spreadsheets/d/11923uPwbBZFjjGgGUA6NLw09EwE0CqkOc4q9oUmW1yo/edit?usp=sharing"",""เพชรบูรณ์!L354"")"),527976)</f>
        <v>527976</v>
      </c>
      <c r="M459" s="168"/>
      <c r="N459" s="168">
        <f ca="1">IFERROR(__xludf.DUMMYFUNCTION("IMPORTRANGE(""https://docs.google.com/spreadsheets/d/11923uPwbBZFjjGgGUA6NLw09EwE0CqkOc4q9oUmW1yo/edit?usp=sharing"",""เพชรบูรณ์!M354"")"),85620)</f>
        <v>85620</v>
      </c>
      <c r="O459" s="168">
        <f t="shared" ca="1" si="116"/>
        <v>16.216646211191417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IFERROR(__xludf.DUMMYFUNCTION("IMPORTRANGE(""https://docs.google.com/spreadsheets/d/11923uPwbBZFjjGgGUA6NLw09EwE0CqkOc4q9oUmW1yo/edit?usp=sharing"",""เพชรบูรณ์!M355"")"),0)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IFERROR(__xludf.DUMMYFUNCTION("IMPORTRANGE(""https://docs.google.com/spreadsheets/d/11923uPwbBZFjjGgGUA6NLw09EwE0CqkOc4q9oUmW1yo/edit?usp=sharing"",""เพชรบูรณ์!M356"")"),0)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IFERROR(__xludf.DUMMYFUNCTION("IMPORTRANGE(""https://docs.google.com/spreadsheets/d/11923uPwbBZFjjGgGUA6NLw09EwE0CqkOc4q9oUmW1yo/edit?usp=sharing"",""เพชรบูรณ์!M357"")"),0)</f>
        <v>0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IFERROR(__xludf.DUMMYFUNCTION("IMPORTRANGE(""https://docs.google.com/spreadsheets/d/11923uPwbBZFjjGgGUA6NLw09EwE0CqkOc4q9oUmW1yo/edit?usp=sharing"",""เพชรบูรณ์!M358"")"),85620)</f>
        <v>85620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IFERROR(__xludf.DUMMYFUNCTION("IMPORTRANGE(""https://docs.google.com/spreadsheets/d/11923uPwbBZFjjGgGUA6NLw09EwE0CqkOc4q9oUmW1yo/edit?usp=sharing"",""เพชรบูรณ์!I359"")"),55704)</f>
        <v>55704</v>
      </c>
      <c r="J464" s="266">
        <f ca="1">IFERROR(__xludf.DUMMYFUNCTION("IMPORTRANGE(""https://docs.google.com/spreadsheets/d/11923uPwbBZFjjGgGUA6NLw09EwE0CqkOc4q9oUmW1yo/edit?usp=sharing"",""เพชรบูรณ์!J359"")"),0)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IFERROR(__xludf.DUMMYFUNCTION("IMPORTRANGE(""https://docs.google.com/spreadsheets/d/11923uPwbBZFjjGgGUA6NLw09EwE0CqkOc4q9oUmW1yo/edit?usp=sharing"",""เพชรบูรณ์!I360"")"),55704)</f>
        <v>55704</v>
      </c>
      <c r="J465" s="418">
        <f ca="1">IFERROR(__xludf.DUMMYFUNCTION("IMPORTRANGE(""https://docs.google.com/spreadsheets/d/11923uPwbBZFjjGgGUA6NLw09EwE0CqkOc4q9oUmW1yo/edit?usp=sharing"",""เพชรบูรณ์!J360"")"),55710)</f>
        <v>55710</v>
      </c>
      <c r="K465" s="201">
        <f t="shared" ca="1" si="117"/>
        <v>100.01077121930203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IFERROR(__xludf.DUMMYFUNCTION("IMPORTRANGE(""https://docs.google.com/spreadsheets/d/11923uPwbBZFjjGgGUA6NLw09EwE0CqkOc4q9oUmW1yo/edit?usp=sharing"",""เพชรบูรณ์!I361"")"),3219)</f>
        <v>3219</v>
      </c>
      <c r="J466" s="418">
        <f ca="1">IFERROR(__xludf.DUMMYFUNCTION("IMPORTRANGE(""https://docs.google.com/spreadsheets/d/11923uPwbBZFjjGgGUA6NLw09EwE0CqkOc4q9oUmW1yo/edit?usp=sharing"",""เพชรบูรณ์!J361"")"),3219)</f>
        <v>3219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IFERROR(__xludf.DUMMYFUNCTION("IMPORTRANGE(""https://docs.google.com/spreadsheets/d/11923uPwbBZFjjGgGUA6NLw09EwE0CqkOc4q9oUmW1yo/edit?usp=sharing"",""เพชรบูรณ์!I362"")"),0)</f>
        <v>0</v>
      </c>
      <c r="J467" s="188">
        <f ca="1">IFERROR(__xludf.DUMMYFUNCTION("IMPORTRANGE(""https://docs.google.com/spreadsheets/d/11923uPwbBZFjjGgGUA6NLw09EwE0CqkOc4q9oUmW1yo/edit?usp=sharing"",""เพชรบูรณ์!J362"")"),34722)</f>
        <v>34722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IFERROR(__xludf.DUMMYFUNCTION("IMPORTRANGE(""https://docs.google.com/spreadsheets/d/11923uPwbBZFjjGgGUA6NLw09EwE0CqkOc4q9oUmW1yo/edit?usp=sharing"",""เพชรบูรณ์!I363"")"),0)</f>
        <v>0</v>
      </c>
      <c r="J468" s="188">
        <f ca="1">IFERROR(__xludf.DUMMYFUNCTION("IMPORTRANGE(""https://docs.google.com/spreadsheets/d/11923uPwbBZFjjGgGUA6NLw09EwE0CqkOc4q9oUmW1yo/edit?usp=sharing"",""เพชรบูรณ์!J363"")"),2238)</f>
        <v>2238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IFERROR(__xludf.DUMMYFUNCTION("IMPORTRANGE(""https://docs.google.com/spreadsheets/d/11923uPwbBZFjjGgGUA6NLw09EwE0CqkOc4q9oUmW1yo/edit?usp=sharing"",""เพชรบูรณ์!I364"")"),0)</f>
        <v>0</v>
      </c>
      <c r="J469" s="188">
        <f ca="1">IFERROR(__xludf.DUMMYFUNCTION("IMPORTRANGE(""https://docs.google.com/spreadsheets/d/11923uPwbBZFjjGgGUA6NLw09EwE0CqkOc4q9oUmW1yo/edit?usp=sharing"",""เพชรบูรณ์!J364"")"),19289)</f>
        <v>19289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IFERROR(__xludf.DUMMYFUNCTION("IMPORTRANGE(""https://docs.google.com/spreadsheets/d/11923uPwbBZFjjGgGUA6NLw09EwE0CqkOc4q9oUmW1yo/edit?usp=sharing"",""เพชรบูรณ์!I365"")"),0)</f>
        <v>0</v>
      </c>
      <c r="J470" s="188">
        <f ca="1">IFERROR(__xludf.DUMMYFUNCTION("IMPORTRANGE(""https://docs.google.com/spreadsheets/d/11923uPwbBZFjjGgGUA6NLw09EwE0CqkOc4q9oUmW1yo/edit?usp=sharing"",""เพชรบูรณ์!J365"")"),896)</f>
        <v>896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IFERROR(__xludf.DUMMYFUNCTION("IMPORTRANGE(""https://docs.google.com/spreadsheets/d/11923uPwbBZFjjGgGUA6NLw09EwE0CqkOc4q9oUmW1yo/edit?usp=sharing"",""เพชรบูรณ์!I366"")"),0)</f>
        <v>0</v>
      </c>
      <c r="J471" s="188">
        <f ca="1">IFERROR(__xludf.DUMMYFUNCTION("IMPORTRANGE(""https://docs.google.com/spreadsheets/d/11923uPwbBZFjjGgGUA6NLw09EwE0CqkOc4q9oUmW1yo/edit?usp=sharing"",""เพชรบูรณ์!J366"")"),1699)</f>
        <v>1699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IFERROR(__xludf.DUMMYFUNCTION("IMPORTRANGE(""https://docs.google.com/spreadsheets/d/11923uPwbBZFjjGgGUA6NLw09EwE0CqkOc4q9oUmW1yo/edit?usp=sharing"",""เพชรบูรณ์!I367"")"),0)</f>
        <v>0</v>
      </c>
      <c r="J472" s="188">
        <f ca="1">IFERROR(__xludf.DUMMYFUNCTION("IMPORTRANGE(""https://docs.google.com/spreadsheets/d/11923uPwbBZFjjGgGUA6NLw09EwE0CqkOc4q9oUmW1yo/edit?usp=sharing"",""เพชรบูรณ์!J367"")"),85)</f>
        <v>85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IFERROR(__xludf.DUMMYFUNCTION("IMPORTRANGE(""https://docs.google.com/spreadsheets/d/11923uPwbBZFjjGgGUA6NLw09EwE0CqkOc4q9oUmW1yo/edit?usp=sharing"",""เพชรบูรณ์!I368"")"),55704)</f>
        <v>55704</v>
      </c>
      <c r="J473" s="418">
        <f ca="1">IFERROR(__xludf.DUMMYFUNCTION("IMPORTRANGE(""https://docs.google.com/spreadsheets/d/11923uPwbBZFjjGgGUA6NLw09EwE0CqkOc4q9oUmW1yo/edit?usp=sharing"",""เพชรบูรณ์!J368"")"),55710)</f>
        <v>55710</v>
      </c>
      <c r="K473" s="201">
        <f t="shared" ca="1" si="117"/>
        <v>100.01077121930203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IFERROR(__xludf.DUMMYFUNCTION("IMPORTRANGE(""https://docs.google.com/spreadsheets/d/11923uPwbBZFjjGgGUA6NLw09EwE0CqkOc4q9oUmW1yo/edit?usp=sharing"",""เพชรบูรณ์!I369"")"),3219)</f>
        <v>3219</v>
      </c>
      <c r="J474" s="418">
        <f ca="1">IFERROR(__xludf.DUMMYFUNCTION("IMPORTRANGE(""https://docs.google.com/spreadsheets/d/11923uPwbBZFjjGgGUA6NLw09EwE0CqkOc4q9oUmW1yo/edit?usp=sharing"",""เพชรบูรณ์!J369"")"),3219)</f>
        <v>3219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IFERROR(__xludf.DUMMYFUNCTION("IMPORTRANGE(""https://docs.google.com/spreadsheets/d/11923uPwbBZFjjGgGUA6NLw09EwE0CqkOc4q9oUmW1yo/edit?usp=sharing"",""เพชรบูรณ์!I370"")"),0)</f>
        <v>0</v>
      </c>
      <c r="J475" s="188">
        <f ca="1">IFERROR(__xludf.DUMMYFUNCTION("IMPORTRANGE(""https://docs.google.com/spreadsheets/d/11923uPwbBZFjjGgGUA6NLw09EwE0CqkOc4q9oUmW1yo/edit?usp=sharing"",""เพชรบูรณ์!J370"")"),35956)</f>
        <v>35956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IFERROR(__xludf.DUMMYFUNCTION("IMPORTRANGE(""https://docs.google.com/spreadsheets/d/11923uPwbBZFjjGgGUA6NLw09EwE0CqkOc4q9oUmW1yo/edit?usp=sharing"",""เพชรบูรณ์!I371"")"),0)</f>
        <v>0</v>
      </c>
      <c r="J476" s="188">
        <f ca="1">IFERROR(__xludf.DUMMYFUNCTION("IMPORTRANGE(""https://docs.google.com/spreadsheets/d/11923uPwbBZFjjGgGUA6NLw09EwE0CqkOc4q9oUmW1yo/edit?usp=sharing"",""เพชรบูรณ์!J371"")"),2315)</f>
        <v>2315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IFERROR(__xludf.DUMMYFUNCTION("IMPORTRANGE(""https://docs.google.com/spreadsheets/d/11923uPwbBZFjjGgGUA6NLw09EwE0CqkOc4q9oUmW1yo/edit?usp=sharing"",""เพชรบูรณ์!I372"")"),0)</f>
        <v>0</v>
      </c>
      <c r="J477" s="188">
        <f ca="1">IFERROR(__xludf.DUMMYFUNCTION("IMPORTRANGE(""https://docs.google.com/spreadsheets/d/11923uPwbBZFjjGgGUA6NLw09EwE0CqkOc4q9oUmW1yo/edit?usp=sharing"",""เพชรบูรณ์!J372"")"),18014)</f>
        <v>18014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IFERROR(__xludf.DUMMYFUNCTION("IMPORTRANGE(""https://docs.google.com/spreadsheets/d/11923uPwbBZFjjGgGUA6NLw09EwE0CqkOc4q9oUmW1yo/edit?usp=sharing"",""เพชรบูรณ์!I373"")"),0)</f>
        <v>0</v>
      </c>
      <c r="J478" s="188">
        <f ca="1">IFERROR(__xludf.DUMMYFUNCTION("IMPORTRANGE(""https://docs.google.com/spreadsheets/d/11923uPwbBZFjjGgGUA6NLw09EwE0CqkOc4q9oUmW1yo/edit?usp=sharing"",""เพชรบูรณ์!J373"")"),820)</f>
        <v>820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IFERROR(__xludf.DUMMYFUNCTION("IMPORTRANGE(""https://docs.google.com/spreadsheets/d/11923uPwbBZFjjGgGUA6NLw09EwE0CqkOc4q9oUmW1yo/edit?usp=sharing"",""เพชรบูรณ์!I374"")"),0)</f>
        <v>0</v>
      </c>
      <c r="J479" s="188">
        <f ca="1">IFERROR(__xludf.DUMMYFUNCTION("IMPORTRANGE(""https://docs.google.com/spreadsheets/d/11923uPwbBZFjjGgGUA6NLw09EwE0CqkOc4q9oUmW1yo/edit?usp=sharing"",""เพชรบูรณ์!J374"")"),1740)</f>
        <v>1740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IFERROR(__xludf.DUMMYFUNCTION("IMPORTRANGE(""https://docs.google.com/spreadsheets/d/11923uPwbBZFjjGgGUA6NLw09EwE0CqkOc4q9oUmW1yo/edit?usp=sharing"",""เพชรบูรณ์!I375"")"),0)</f>
        <v>0</v>
      </c>
      <c r="J480" s="188">
        <f ca="1">IFERROR(__xludf.DUMMYFUNCTION("IMPORTRANGE(""https://docs.google.com/spreadsheets/d/11923uPwbBZFjjGgGUA6NLw09EwE0CqkOc4q9oUmW1yo/edit?usp=sharing"",""เพชรบูรณ์!J375"")"),84)</f>
        <v>84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IFERROR(__xludf.DUMMYFUNCTION("IMPORTRANGE(""https://docs.google.com/spreadsheets/d/11923uPwbBZFjjGgGUA6NLw09EwE0CqkOc4q9oUmW1yo/edit?usp=sharing"",""เพชรบูรณ์!I376"")"),55704)</f>
        <v>55704</v>
      </c>
      <c r="J481" s="418">
        <f ca="1">IFERROR(__xludf.DUMMYFUNCTION("IMPORTRANGE(""https://docs.google.com/spreadsheets/d/11923uPwbBZFjjGgGUA6NLw09EwE0CqkOc4q9oUmW1yo/edit?usp=sharing"",""เพชรบูรณ์!J376"")"),0)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IFERROR(__xludf.DUMMYFUNCTION("IMPORTRANGE(""https://docs.google.com/spreadsheets/d/11923uPwbBZFjjGgGUA6NLw09EwE0CqkOc4q9oUmW1yo/edit?usp=sharing"",""เพชรบูรณ์!I377"")"),3219)</f>
        <v>3219</v>
      </c>
      <c r="J482" s="418">
        <f ca="1">IFERROR(__xludf.DUMMYFUNCTION("IMPORTRANGE(""https://docs.google.com/spreadsheets/d/11923uPwbBZFjjGgGUA6NLw09EwE0CqkOc4q9oUmW1yo/edit?usp=sharing"",""เพชรบูรณ์!J377"")"),0)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IFERROR(__xludf.DUMMYFUNCTION("IMPORTRANGE(""https://docs.google.com/spreadsheets/d/11923uPwbBZFjjGgGUA6NLw09EwE0CqkOc4q9oUmW1yo/edit?usp=sharing"",""เพชรบูรณ์!I378"")"),0)</f>
        <v>0</v>
      </c>
      <c r="J483" s="188">
        <f ca="1">IFERROR(__xludf.DUMMYFUNCTION("IMPORTRANGE(""https://docs.google.com/spreadsheets/d/11923uPwbBZFjjGgGUA6NLw09EwE0CqkOc4q9oUmW1yo/edit?usp=sharing"",""เพชรบูรณ์!J378"")"),0)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IFERROR(__xludf.DUMMYFUNCTION("IMPORTRANGE(""https://docs.google.com/spreadsheets/d/11923uPwbBZFjjGgGUA6NLw09EwE0CqkOc4q9oUmW1yo/edit?usp=sharing"",""เพชรบูรณ์!I379"")"),0)</f>
        <v>0</v>
      </c>
      <c r="J484" s="188">
        <f ca="1">IFERROR(__xludf.DUMMYFUNCTION("IMPORTRANGE(""https://docs.google.com/spreadsheets/d/11923uPwbBZFjjGgGUA6NLw09EwE0CqkOc4q9oUmW1yo/edit?usp=sharing"",""เพชรบูรณ์!J379"")"),0)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IFERROR(__xludf.DUMMYFUNCTION("IMPORTRANGE(""https://docs.google.com/spreadsheets/d/11923uPwbBZFjjGgGUA6NLw09EwE0CqkOc4q9oUmW1yo/edit?usp=sharing"",""เพชรบูรณ์!I380"")"),0)</f>
        <v>0</v>
      </c>
      <c r="J485" s="188">
        <f ca="1">IFERROR(__xludf.DUMMYFUNCTION("IMPORTRANGE(""https://docs.google.com/spreadsheets/d/11923uPwbBZFjjGgGUA6NLw09EwE0CqkOc4q9oUmW1yo/edit?usp=sharing"",""เพชรบูรณ์!J380"")"),0)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IFERROR(__xludf.DUMMYFUNCTION("IMPORTRANGE(""https://docs.google.com/spreadsheets/d/11923uPwbBZFjjGgGUA6NLw09EwE0CqkOc4q9oUmW1yo/edit?usp=sharing"",""เพชรบูรณ์!I381"")"),0)</f>
        <v>0</v>
      </c>
      <c r="J486" s="188">
        <f ca="1">IFERROR(__xludf.DUMMYFUNCTION("IMPORTRANGE(""https://docs.google.com/spreadsheets/d/11923uPwbBZFjjGgGUA6NLw09EwE0CqkOc4q9oUmW1yo/edit?usp=sharing"",""เพชรบูรณ์!J381"")"),0)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IFERROR(__xludf.DUMMYFUNCTION("IMPORTRANGE(""https://docs.google.com/spreadsheets/d/11923uPwbBZFjjGgGUA6NLw09EwE0CqkOc4q9oUmW1yo/edit?usp=sharing"",""เพชรบูรณ์!I382"")"),0)</f>
        <v>0</v>
      </c>
      <c r="J487" s="418">
        <f ca="1">IFERROR(__xludf.DUMMYFUNCTION("IMPORTRANGE(""https://docs.google.com/spreadsheets/d/11923uPwbBZFjjGgGUA6NLw09EwE0CqkOc4q9oUmW1yo/edit?usp=sharing"",""เพชรบูรณ์!J382"")"),0)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IFERROR(__xludf.DUMMYFUNCTION("IMPORTRANGE(""https://docs.google.com/spreadsheets/d/11923uPwbBZFjjGgGUA6NLw09EwE0CqkOc4q9oUmW1yo/edit?usp=sharing"",""เพชรบูรณ์!I383"")"),0)</f>
        <v>0</v>
      </c>
      <c r="J488" s="418">
        <f ca="1">IFERROR(__xludf.DUMMYFUNCTION("IMPORTRANGE(""https://docs.google.com/spreadsheets/d/11923uPwbBZFjjGgGUA6NLw09EwE0CqkOc4q9oUmW1yo/edit?usp=sharing"",""เพชรบูรณ์!J383"")"),0)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IFERROR(__xludf.DUMMYFUNCTION("IMPORTRANGE(""https://docs.google.com/spreadsheets/d/11923uPwbBZFjjGgGUA6NLw09EwE0CqkOc4q9oUmW1yo/edit?usp=sharing"",""เพชรบูรณ์!I384"")"),0)</f>
        <v>0</v>
      </c>
      <c r="J489" s="188">
        <f ca="1">IFERROR(__xludf.DUMMYFUNCTION("IMPORTRANGE(""https://docs.google.com/spreadsheets/d/11923uPwbBZFjjGgGUA6NLw09EwE0CqkOc4q9oUmW1yo/edit?usp=sharing"",""เพชรบูรณ์!J384"")"),0)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IFERROR(__xludf.DUMMYFUNCTION("IMPORTRANGE(""https://docs.google.com/spreadsheets/d/11923uPwbBZFjjGgGUA6NLw09EwE0CqkOc4q9oUmW1yo/edit?usp=sharing"",""เพชรบูรณ์!I385"")"),0)</f>
        <v>0</v>
      </c>
      <c r="J490" s="188">
        <f ca="1">IFERROR(__xludf.DUMMYFUNCTION("IMPORTRANGE(""https://docs.google.com/spreadsheets/d/11923uPwbBZFjjGgGUA6NLw09EwE0CqkOc4q9oUmW1yo/edit?usp=sharing"",""เพชรบูรณ์!J385"")"),0)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IFERROR(__xludf.DUMMYFUNCTION("IMPORTRANGE(""https://docs.google.com/spreadsheets/d/11923uPwbBZFjjGgGUA6NLw09EwE0CqkOc4q9oUmW1yo/edit?usp=sharing"",""เพชรบูรณ์!I386"")"),0)</f>
        <v>0</v>
      </c>
      <c r="J491" s="188">
        <f ca="1">IFERROR(__xludf.DUMMYFUNCTION("IMPORTRANGE(""https://docs.google.com/spreadsheets/d/11923uPwbBZFjjGgGUA6NLw09EwE0CqkOc4q9oUmW1yo/edit?usp=sharing"",""เพชรบูรณ์!J386"")"),0)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IFERROR(__xludf.DUMMYFUNCTION("IMPORTRANGE(""https://docs.google.com/spreadsheets/d/11923uPwbBZFjjGgGUA6NLw09EwE0CqkOc4q9oUmW1yo/edit?usp=sharing"",""เพชรบูรณ์!I387"")"),0)</f>
        <v>0</v>
      </c>
      <c r="J492" s="188">
        <f ca="1">IFERROR(__xludf.DUMMYFUNCTION("IMPORTRANGE(""https://docs.google.com/spreadsheets/d/11923uPwbBZFjjGgGUA6NLw09EwE0CqkOc4q9oUmW1yo/edit?usp=sharing"",""เพชรบูรณ์!J387"")"),0)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IFERROR(__xludf.DUMMYFUNCTION("IMPORTRANGE(""https://docs.google.com/spreadsheets/d/11923uPwbBZFjjGgGUA6NLw09EwE0CqkOc4q9oUmW1yo/edit?usp=sharing"",""เพชรบูรณ์!I388"")"),0)</f>
        <v>0</v>
      </c>
      <c r="J493" s="188">
        <f ca="1">IFERROR(__xludf.DUMMYFUNCTION("IMPORTRANGE(""https://docs.google.com/spreadsheets/d/11923uPwbBZFjjGgGUA6NLw09EwE0CqkOc4q9oUmW1yo/edit?usp=sharing"",""เพชรบูรณ์!J388"")"),0)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IFERROR(__xludf.DUMMYFUNCTION("IMPORTRANGE(""https://docs.google.com/spreadsheets/d/11923uPwbBZFjjGgGUA6NLw09EwE0CqkOc4q9oUmW1yo/edit?usp=sharing"",""เพชรบูรณ์!I389"")"),0)</f>
        <v>0</v>
      </c>
      <c r="J494" s="434">
        <f ca="1">IFERROR(__xludf.DUMMYFUNCTION("IMPORTRANGE(""https://docs.google.com/spreadsheets/d/11923uPwbBZFjjGgGUA6NLw09EwE0CqkOc4q9oUmW1yo/edit?usp=sharing"",""เพชรบูรณ์!J389"")"),0)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IFERROR(__xludf.DUMMYFUNCTION("IMPORTRANGE(""https://docs.google.com/spreadsheets/d/11923uPwbBZFjjGgGUA6NLw09EwE0CqkOc4q9oUmW1yo/edit?usp=sharing"",""เพชรบูรณ์!I390"")"),0)</f>
        <v>0</v>
      </c>
      <c r="J495" s="434">
        <f ca="1">IFERROR(__xludf.DUMMYFUNCTION("IMPORTRANGE(""https://docs.google.com/spreadsheets/d/11923uPwbBZFjjGgGUA6NLw09EwE0CqkOc4q9oUmW1yo/edit?usp=sharing"",""เพชรบูรณ์!J390"")"),0)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IFERROR(__xludf.DUMMYFUNCTION("IMPORTRANGE(""https://docs.google.com/spreadsheets/d/11923uPwbBZFjjGgGUA6NLw09EwE0CqkOc4q9oUmW1yo/edit?usp=sharing"",""เพชรบูรณ์!I391"")"),0)</f>
        <v>0</v>
      </c>
      <c r="J496" s="434">
        <f ca="1">IFERROR(__xludf.DUMMYFUNCTION("IMPORTRANGE(""https://docs.google.com/spreadsheets/d/11923uPwbBZFjjGgGUA6NLw09EwE0CqkOc4q9oUmW1yo/edit?usp=sharing"",""เพชรบูรณ์!J391"")"),0)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IFERROR(__xludf.DUMMYFUNCTION("IMPORTRANGE(""https://docs.google.com/spreadsheets/d/11923uPwbBZFjjGgGUA6NLw09EwE0CqkOc4q9oUmW1yo/edit?usp=sharing"",""เพชรบูรณ์!I392"")"),3349)</f>
        <v>3349</v>
      </c>
      <c r="J497" s="441">
        <f ca="1">IFERROR(__xludf.DUMMYFUNCTION("IMPORTRANGE(""https://docs.google.com/spreadsheets/d/11923uPwbBZFjjGgGUA6NLw09EwE0CqkOc4q9oUmW1yo/edit?usp=sharing"",""เพชรบูรณ์!J392"")"),708)</f>
        <v>708</v>
      </c>
      <c r="K497" s="442">
        <f t="shared" ca="1" si="117"/>
        <v>21.140638996715438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IFERROR(__xludf.DUMMYFUNCTION("IMPORTRANGE(""https://docs.google.com/spreadsheets/d/11923uPwbBZFjjGgGUA6NLw09EwE0CqkOc4q9oUmW1yo/edit?usp=sharing"",""เพชรบูรณ์!I393"")"),3349)</f>
        <v>3349</v>
      </c>
      <c r="J498" s="418">
        <f ca="1">IFERROR(__xludf.DUMMYFUNCTION("IMPORTRANGE(""https://docs.google.com/spreadsheets/d/11923uPwbBZFjjGgGUA6NLw09EwE0CqkOc4q9oUmW1yo/edit?usp=sharing"",""เพชรบูรณ์!J393"")"),708)</f>
        <v>708</v>
      </c>
      <c r="K498" s="163">
        <f t="shared" ca="1" si="117"/>
        <v>21.140638996715438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IFERROR(__xludf.DUMMYFUNCTION("IMPORTRANGE(""https://docs.google.com/spreadsheets/d/11923uPwbBZFjjGgGUA6NLw09EwE0CqkOc4q9oUmW1yo/edit?usp=sharing"",""เพชรบูรณ์!I394"")"),281)</f>
        <v>281</v>
      </c>
      <c r="J499" s="418">
        <f ca="1">IFERROR(__xludf.DUMMYFUNCTION("IMPORTRANGE(""https://docs.google.com/spreadsheets/d/11923uPwbBZFjjGgGUA6NLw09EwE0CqkOc4q9oUmW1yo/edit?usp=sharing"",""เพชรบูรณ์!J394"")"),62)</f>
        <v>62</v>
      </c>
      <c r="K499" s="201">
        <f t="shared" ca="1" si="117"/>
        <v>22.064056939501778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IFERROR(__xludf.DUMMYFUNCTION("IMPORTRANGE(""https://docs.google.com/spreadsheets/d/11923uPwbBZFjjGgGUA6NLw09EwE0CqkOc4q9oUmW1yo/edit?usp=sharing"",""เพชรบูรณ์!I395"")"),0)</f>
        <v>0</v>
      </c>
      <c r="J500" s="162">
        <f ca="1">IFERROR(__xludf.DUMMYFUNCTION("IMPORTRANGE(""https://docs.google.com/spreadsheets/d/11923uPwbBZFjjGgGUA6NLw09EwE0CqkOc4q9oUmW1yo/edit?usp=sharing"",""เพชรบูรณ์!J395"")"),693)</f>
        <v>693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IFERROR(__xludf.DUMMYFUNCTION("IMPORTRANGE(""https://docs.google.com/spreadsheets/d/11923uPwbBZFjjGgGUA6NLw09EwE0CqkOc4q9oUmW1yo/edit?usp=sharing"",""เพชรบูรณ์!I396"")"),0)</f>
        <v>0</v>
      </c>
      <c r="J501" s="162">
        <f ca="1">IFERROR(__xludf.DUMMYFUNCTION("IMPORTRANGE(""https://docs.google.com/spreadsheets/d/11923uPwbBZFjjGgGUA6NLw09EwE0CqkOc4q9oUmW1yo/edit?usp=sharing"",""เพชรบูรณ์!J396"")"),59)</f>
        <v>59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IFERROR(__xludf.DUMMYFUNCTION("IMPORTRANGE(""https://docs.google.com/spreadsheets/d/11923uPwbBZFjjGgGUA6NLw09EwE0CqkOc4q9oUmW1yo/edit?usp=sharing"",""เพชรบูรณ์!I397"")"),0)</f>
        <v>0</v>
      </c>
      <c r="J502" s="188">
        <f ca="1">IFERROR(__xludf.DUMMYFUNCTION("IMPORTRANGE(""https://docs.google.com/spreadsheets/d/11923uPwbBZFjjGgGUA6NLw09EwE0CqkOc4q9oUmW1yo/edit?usp=sharing"",""เพชรบูรณ์!J397"")"),614)</f>
        <v>614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IFERROR(__xludf.DUMMYFUNCTION("IMPORTRANGE(""https://docs.google.com/spreadsheets/d/11923uPwbBZFjjGgGUA6NLw09EwE0CqkOc4q9oUmW1yo/edit?usp=sharing"",""เพชรบูรณ์!I398"")"),0)</f>
        <v>0</v>
      </c>
      <c r="J503" s="197">
        <f ca="1">IFERROR(__xludf.DUMMYFUNCTION("IMPORTRANGE(""https://docs.google.com/spreadsheets/d/11923uPwbBZFjjGgGUA6NLw09EwE0CqkOc4q9oUmW1yo/edit?usp=sharing"",""เพชรบูรณ์!J398"")"),53)</f>
        <v>53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IFERROR(__xludf.DUMMYFUNCTION("IMPORTRANGE(""https://docs.google.com/spreadsheets/d/11923uPwbBZFjjGgGUA6NLw09EwE0CqkOc4q9oUmW1yo/edit?usp=sharing"",""เพชรบูรณ์!I399"")"),0)</f>
        <v>0</v>
      </c>
      <c r="J504" s="188">
        <f ca="1">IFERROR(__xludf.DUMMYFUNCTION("IMPORTRANGE(""https://docs.google.com/spreadsheets/d/11923uPwbBZFjjGgGUA6NLw09EwE0CqkOc4q9oUmW1yo/edit?usp=sharing"",""เพชรบูรณ์!J399"")"),79)</f>
        <v>79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IFERROR(__xludf.DUMMYFUNCTION("IMPORTRANGE(""https://docs.google.com/spreadsheets/d/11923uPwbBZFjjGgGUA6NLw09EwE0CqkOc4q9oUmW1yo/edit?usp=sharing"",""เพชรบูรณ์!I400"")"),0)</f>
        <v>0</v>
      </c>
      <c r="J505" s="197">
        <f ca="1">IFERROR(__xludf.DUMMYFUNCTION("IMPORTRANGE(""https://docs.google.com/spreadsheets/d/11923uPwbBZFjjGgGUA6NLw09EwE0CqkOc4q9oUmW1yo/edit?usp=sharing"",""เพชรบูรณ์!J400"")"),6)</f>
        <v>6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IFERROR(__xludf.DUMMYFUNCTION("IMPORTRANGE(""https://docs.google.com/spreadsheets/d/11923uPwbBZFjjGgGUA6NLw09EwE0CqkOc4q9oUmW1yo/edit?usp=sharing"",""เพชรบูรณ์!I401"")"),0)</f>
        <v>0</v>
      </c>
      <c r="J506" s="188">
        <f ca="1">IFERROR(__xludf.DUMMYFUNCTION("IMPORTRANGE(""https://docs.google.com/spreadsheets/d/11923uPwbBZFjjGgGUA6NLw09EwE0CqkOc4q9oUmW1yo/edit?usp=sharing"",""เพชรบูรณ์!J401"")"),0)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IFERROR(__xludf.DUMMYFUNCTION("IMPORTRANGE(""https://docs.google.com/spreadsheets/d/11923uPwbBZFjjGgGUA6NLw09EwE0CqkOc4q9oUmW1yo/edit?usp=sharing"",""เพชรบูรณ์!I402"")"),0)</f>
        <v>0</v>
      </c>
      <c r="J507" s="197">
        <f ca="1">IFERROR(__xludf.DUMMYFUNCTION("IMPORTRANGE(""https://docs.google.com/spreadsheets/d/11923uPwbBZFjjGgGUA6NLw09EwE0CqkOc4q9oUmW1yo/edit?usp=sharing"",""เพชรบูรณ์!J402"")"),0)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IFERROR(__xludf.DUMMYFUNCTION("IMPORTRANGE(""https://docs.google.com/spreadsheets/d/11923uPwbBZFjjGgGUA6NLw09EwE0CqkOc4q9oUmW1yo/edit?usp=sharing"",""เพชรบูรณ์!I403"")"),0)</f>
        <v>0</v>
      </c>
      <c r="J508" s="162">
        <f ca="1">IFERROR(__xludf.DUMMYFUNCTION("IMPORTRANGE(""https://docs.google.com/spreadsheets/d/11923uPwbBZFjjGgGUA6NLw09EwE0CqkOc4q9oUmW1yo/edit?usp=sharing"",""เพชรบูรณ์!J403"")"),15)</f>
        <v>15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IFERROR(__xludf.DUMMYFUNCTION("IMPORTRANGE(""https://docs.google.com/spreadsheets/d/11923uPwbBZFjjGgGUA6NLw09EwE0CqkOc4q9oUmW1yo/edit?usp=sharing"",""เพชรบูรณ์!I404"")"),0)</f>
        <v>0</v>
      </c>
      <c r="J509" s="162">
        <f ca="1">IFERROR(__xludf.DUMMYFUNCTION("IMPORTRANGE(""https://docs.google.com/spreadsheets/d/11923uPwbBZFjjGgGUA6NLw09EwE0CqkOc4q9oUmW1yo/edit?usp=sharing"",""เพชรบูรณ์!J404"")"),3)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IFERROR(__xludf.DUMMYFUNCTION("IMPORTRANGE(""https://docs.google.com/spreadsheets/d/11923uPwbBZFjjGgGUA6NLw09EwE0CqkOc4q9oUmW1yo/edit?usp=sharing"",""เพชรบูรณ์!I405"")"),0)</f>
        <v>0</v>
      </c>
      <c r="J510" s="197">
        <f ca="1">IFERROR(__xludf.DUMMYFUNCTION("IMPORTRANGE(""https://docs.google.com/spreadsheets/d/11923uPwbBZFjjGgGUA6NLw09EwE0CqkOc4q9oUmW1yo/edit?usp=sharing"",""เพชรบูรณ์!J405"")"),15)</f>
        <v>15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IFERROR(__xludf.DUMMYFUNCTION("IMPORTRANGE(""https://docs.google.com/spreadsheets/d/11923uPwbBZFjjGgGUA6NLw09EwE0CqkOc4q9oUmW1yo/edit?usp=sharing"",""เพชรบูรณ์!I406"")"),0)</f>
        <v>0</v>
      </c>
      <c r="J511" s="197">
        <f ca="1">IFERROR(__xludf.DUMMYFUNCTION("IMPORTRANGE(""https://docs.google.com/spreadsheets/d/11923uPwbBZFjjGgGUA6NLw09EwE0CqkOc4q9oUmW1yo/edit?usp=sharing"",""เพชรบูรณ์!J406"")"),3)</f>
        <v>3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IFERROR(__xludf.DUMMYFUNCTION("IMPORTRANGE(""https://docs.google.com/spreadsheets/d/11923uPwbBZFjjGgGUA6NLw09EwE0CqkOc4q9oUmW1yo/edit?usp=sharing"",""เพชรบูรณ์!I407"")"),0)</f>
        <v>0</v>
      </c>
      <c r="J512" s="197">
        <f ca="1">IFERROR(__xludf.DUMMYFUNCTION("IMPORTRANGE(""https://docs.google.com/spreadsheets/d/11923uPwbBZFjjGgGUA6NLw09EwE0CqkOc4q9oUmW1yo/edit?usp=sharing"",""เพชรบูรณ์!J407"")"),0)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IFERROR(__xludf.DUMMYFUNCTION("IMPORTRANGE(""https://docs.google.com/spreadsheets/d/11923uPwbBZFjjGgGUA6NLw09EwE0CqkOc4q9oUmW1yo/edit?usp=sharing"",""เพชรบูรณ์!I408"")"),0)</f>
        <v>0</v>
      </c>
      <c r="J513" s="197">
        <f ca="1">IFERROR(__xludf.DUMMYFUNCTION("IMPORTRANGE(""https://docs.google.com/spreadsheets/d/11923uPwbBZFjjGgGUA6NLw09EwE0CqkOc4q9oUmW1yo/edit?usp=sharing"",""เพชรบูรณ์!J408"")"),0)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IFERROR(__xludf.DUMMYFUNCTION("IMPORTRANGE(""https://docs.google.com/spreadsheets/d/11923uPwbBZFjjGgGUA6NLw09EwE0CqkOc4q9oUmW1yo/edit?usp=sharing"",""เพชรบูรณ์!I409"")"),0)</f>
        <v>0</v>
      </c>
      <c r="J514" s="197">
        <f ca="1">IFERROR(__xludf.DUMMYFUNCTION("IMPORTRANGE(""https://docs.google.com/spreadsheets/d/11923uPwbBZFjjGgGUA6NLw09EwE0CqkOc4q9oUmW1yo/edit?usp=sharing"",""เพชรบูรณ์!J409"")"),0)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IFERROR(__xludf.DUMMYFUNCTION("IMPORTRANGE(""https://docs.google.com/spreadsheets/d/11923uPwbBZFjjGgGUA6NLw09EwE0CqkOc4q9oUmW1yo/edit?usp=sharing"",""เพชรบูรณ์!I410"")"),0)</f>
        <v>0</v>
      </c>
      <c r="J515" s="197">
        <f ca="1">IFERROR(__xludf.DUMMYFUNCTION("IMPORTRANGE(""https://docs.google.com/spreadsheets/d/11923uPwbBZFjjGgGUA6NLw09EwE0CqkOc4q9oUmW1yo/edit?usp=sharing"",""เพชรบูรณ์!J410"")"),0)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IFERROR(__xludf.DUMMYFUNCTION("IMPORTRANGE(""https://docs.google.com/spreadsheets/d/11923uPwbBZFjjGgGUA6NLw09EwE0CqkOc4q9oUmW1yo/edit?usp=sharing"",""เพชรบูรณ์!I411"")"),0)</f>
        <v>0</v>
      </c>
      <c r="J516" s="266">
        <f ca="1">IFERROR(__xludf.DUMMYFUNCTION("IMPORTRANGE(""https://docs.google.com/spreadsheets/d/11923uPwbBZFjjGgGUA6NLw09EwE0CqkOc4q9oUmW1yo/edit?usp=sharing"",""เพชรบูรณ์!J411"")"),0)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IFERROR(__xludf.DUMMYFUNCTION("IMPORTRANGE(""https://docs.google.com/spreadsheets/d/11923uPwbBZFjjGgGUA6NLw09EwE0CqkOc4q9oUmW1yo/edit?usp=sharing"",""เพชรบูรณ์!I412"")"),0)</f>
        <v>0</v>
      </c>
      <c r="J517" s="282">
        <f ca="1">IFERROR(__xludf.DUMMYFUNCTION("IMPORTRANGE(""https://docs.google.com/spreadsheets/d/11923uPwbBZFjjGgGUA6NLw09EwE0CqkOc4q9oUmW1yo/edit?usp=sharing"",""เพชรบูรณ์!J412"")"),0)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IFERROR(__xludf.DUMMYFUNCTION("IMPORTRANGE(""https://docs.google.com/spreadsheets/d/11923uPwbBZFjjGgGUA6NLw09EwE0CqkOc4q9oUmW1yo/edit?usp=sharing"",""เพชรบูรณ์!I413"")"),0)</f>
        <v>0</v>
      </c>
      <c r="J518" s="282">
        <f ca="1">IFERROR(__xludf.DUMMYFUNCTION("IMPORTRANGE(""https://docs.google.com/spreadsheets/d/11923uPwbBZFjjGgGUA6NLw09EwE0CqkOc4q9oUmW1yo/edit?usp=sharing"",""เพชรบูรณ์!J413"")"),0)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IFERROR(__xludf.DUMMYFUNCTION("IMPORTRANGE(""https://docs.google.com/spreadsheets/d/11923uPwbBZFjjGgGUA6NLw09EwE0CqkOc4q9oUmW1yo/edit?usp=sharing"",""เพชรบูรณ์!I414"")"),0)</f>
        <v>0</v>
      </c>
      <c r="J519" s="187">
        <f ca="1">IFERROR(__xludf.DUMMYFUNCTION("IMPORTRANGE(""https://docs.google.com/spreadsheets/d/11923uPwbBZFjjGgGUA6NLw09EwE0CqkOc4q9oUmW1yo/edit?usp=sharing"",""เพชรบูรณ์!J414"")"),0)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IFERROR(__xludf.DUMMYFUNCTION("IMPORTRANGE(""https://docs.google.com/spreadsheets/d/11923uPwbBZFjjGgGUA6NLw09EwE0CqkOc4q9oUmW1yo/edit?usp=sharing"",""เพชรบูรณ์!I415"")"),0)</f>
        <v>0</v>
      </c>
      <c r="J520" s="187">
        <f ca="1">IFERROR(__xludf.DUMMYFUNCTION("IMPORTRANGE(""https://docs.google.com/spreadsheets/d/11923uPwbBZFjjGgGUA6NLw09EwE0CqkOc4q9oUmW1yo/edit?usp=sharing"",""เพชรบูรณ์!J415"")"),0)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IFERROR(__xludf.DUMMYFUNCTION("IMPORTRANGE(""https://docs.google.com/spreadsheets/d/11923uPwbBZFjjGgGUA6NLw09EwE0CqkOc4q9oUmW1yo/edit?usp=sharing"",""เพชรบูรณ์!I416"")"),0)</f>
        <v>0</v>
      </c>
      <c r="J521" s="187">
        <f ca="1">IFERROR(__xludf.DUMMYFUNCTION("IMPORTRANGE(""https://docs.google.com/spreadsheets/d/11923uPwbBZFjjGgGUA6NLw09EwE0CqkOc4q9oUmW1yo/edit?usp=sharing"",""เพชรบูรณ์!J416"")"),0)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IFERROR(__xludf.DUMMYFUNCTION("IMPORTRANGE(""https://docs.google.com/spreadsheets/d/11923uPwbBZFjjGgGUA6NLw09EwE0CqkOc4q9oUmW1yo/edit?usp=sharing"",""เพชรบูรณ์!I417"")"),0)</f>
        <v>0</v>
      </c>
      <c r="J522" s="187">
        <f ca="1">IFERROR(__xludf.DUMMYFUNCTION("IMPORTRANGE(""https://docs.google.com/spreadsheets/d/11923uPwbBZFjjGgGUA6NLw09EwE0CqkOc4q9oUmW1yo/edit?usp=sharing"",""เพชรบูรณ์!J417"")"),0)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IFERROR(__xludf.DUMMYFUNCTION("IMPORTRANGE(""https://docs.google.com/spreadsheets/d/11923uPwbBZFjjGgGUA6NLw09EwE0CqkOc4q9oUmW1yo/edit?usp=sharing"",""เพชรบูรณ์!I418"")"),0)</f>
        <v>0</v>
      </c>
      <c r="J523" s="187">
        <f ca="1">IFERROR(__xludf.DUMMYFUNCTION("IMPORTRANGE(""https://docs.google.com/spreadsheets/d/11923uPwbBZFjjGgGUA6NLw09EwE0CqkOc4q9oUmW1yo/edit?usp=sharing"",""เพชรบูรณ์!J418"")"),0)</f>
        <v>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IFERROR(__xludf.DUMMYFUNCTION("IMPORTRANGE(""https://docs.google.com/spreadsheets/d/11923uPwbBZFjjGgGUA6NLw09EwE0CqkOc4q9oUmW1yo/edit?usp=sharing"",""เพชรบูรณ์!I419"")"),0)</f>
        <v>0</v>
      </c>
      <c r="J524" s="187">
        <f ca="1">IFERROR(__xludf.DUMMYFUNCTION("IMPORTRANGE(""https://docs.google.com/spreadsheets/d/11923uPwbBZFjjGgGUA6NLw09EwE0CqkOc4q9oUmW1yo/edit?usp=sharing"",""เพชรบูรณ์!J419"")"),0)</f>
        <v>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IFERROR(__xludf.DUMMYFUNCTION("IMPORTRANGE(""https://docs.google.com/spreadsheets/d/11923uPwbBZFjjGgGUA6NLw09EwE0CqkOc4q9oUmW1yo/edit?usp=sharing"",""เพชรบูรณ์!I420"")"),0)</f>
        <v>0</v>
      </c>
      <c r="J525" s="282">
        <f ca="1">IFERROR(__xludf.DUMMYFUNCTION("IMPORTRANGE(""https://docs.google.com/spreadsheets/d/11923uPwbBZFjjGgGUA6NLw09EwE0CqkOc4q9oUmW1yo/edit?usp=sharing"",""เพชรบูรณ์!J420"")"),0)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IFERROR(__xludf.DUMMYFUNCTION("IMPORTRANGE(""https://docs.google.com/spreadsheets/d/11923uPwbBZFjjGgGUA6NLw09EwE0CqkOc4q9oUmW1yo/edit?usp=sharing"",""เพชรบูรณ์!I421"")"),0)</f>
        <v>0</v>
      </c>
      <c r="J526" s="282">
        <f ca="1">IFERROR(__xludf.DUMMYFUNCTION("IMPORTRANGE(""https://docs.google.com/spreadsheets/d/11923uPwbBZFjjGgGUA6NLw09EwE0CqkOc4q9oUmW1yo/edit?usp=sharing"",""เพชรบูรณ์!J421"")"),0)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IFERROR(__xludf.DUMMYFUNCTION("IMPORTRANGE(""https://docs.google.com/spreadsheets/d/11923uPwbBZFjjGgGUA6NLw09EwE0CqkOc4q9oUmW1yo/edit?usp=sharing"",""เพชรบูรณ์!I422"")"),0)</f>
        <v>0</v>
      </c>
      <c r="J527" s="197">
        <f ca="1">IFERROR(__xludf.DUMMYFUNCTION("IMPORTRANGE(""https://docs.google.com/spreadsheets/d/11923uPwbBZFjjGgGUA6NLw09EwE0CqkOc4q9oUmW1yo/edit?usp=sharing"",""เพชรบูรณ์!J422"")"),0)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IFERROR(__xludf.DUMMYFUNCTION("IMPORTRANGE(""https://docs.google.com/spreadsheets/d/11923uPwbBZFjjGgGUA6NLw09EwE0CqkOc4q9oUmW1yo/edit?usp=sharing"",""เพชรบูรณ์!I423"")"),0)</f>
        <v>0</v>
      </c>
      <c r="J528" s="197">
        <f ca="1">IFERROR(__xludf.DUMMYFUNCTION("IMPORTRANGE(""https://docs.google.com/spreadsheets/d/11923uPwbBZFjjGgGUA6NLw09EwE0CqkOc4q9oUmW1yo/edit?usp=sharing"",""เพชรบูรณ์!J423"")"),0)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IFERROR(__xludf.DUMMYFUNCTION("IMPORTRANGE(""https://docs.google.com/spreadsheets/d/11923uPwbBZFjjGgGUA6NLw09EwE0CqkOc4q9oUmW1yo/edit?usp=sharing"",""เพชรบูรณ์!I424"")"),0)</f>
        <v>0</v>
      </c>
      <c r="J529" s="197">
        <f ca="1">IFERROR(__xludf.DUMMYFUNCTION("IMPORTRANGE(""https://docs.google.com/spreadsheets/d/11923uPwbBZFjjGgGUA6NLw09EwE0CqkOc4q9oUmW1yo/edit?usp=sharing"",""เพชรบูรณ์!J424"")"),0)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IFERROR(__xludf.DUMMYFUNCTION("IMPORTRANGE(""https://docs.google.com/spreadsheets/d/11923uPwbBZFjjGgGUA6NLw09EwE0CqkOc4q9oUmW1yo/edit?usp=sharing"",""เพชรบูรณ์!I425"")"),0)</f>
        <v>0</v>
      </c>
      <c r="J530" s="197">
        <f ca="1">IFERROR(__xludf.DUMMYFUNCTION("IMPORTRANGE(""https://docs.google.com/spreadsheets/d/11923uPwbBZFjjGgGUA6NLw09EwE0CqkOc4q9oUmW1yo/edit?usp=sharing"",""เพชรบูรณ์!J425"")"),0)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IFERROR(__xludf.DUMMYFUNCTION("IMPORTRANGE(""https://docs.google.com/spreadsheets/d/11923uPwbBZFjjGgGUA6NLw09EwE0CqkOc4q9oUmW1yo/edit?usp=sharing"",""เพชรบูรณ์!I426"")"),0)</f>
        <v>0</v>
      </c>
      <c r="J531" s="197">
        <f ca="1">IFERROR(__xludf.DUMMYFUNCTION("IMPORTRANGE(""https://docs.google.com/spreadsheets/d/11923uPwbBZFjjGgGUA6NLw09EwE0CqkOc4q9oUmW1yo/edit?usp=sharing"",""เพชรบูรณ์!J426"")"),0)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IFERROR(__xludf.DUMMYFUNCTION("IMPORTRANGE(""https://docs.google.com/spreadsheets/d/11923uPwbBZFjjGgGUA6NLw09EwE0CqkOc4q9oUmW1yo/edit?usp=sharing"",""เพชรบูรณ์!I427"")"),0)</f>
        <v>0</v>
      </c>
      <c r="J532" s="464">
        <f ca="1">IFERROR(__xludf.DUMMYFUNCTION("IMPORTRANGE(""https://docs.google.com/spreadsheets/d/11923uPwbBZFjjGgGUA6NLw09EwE0CqkOc4q9oUmW1yo/edit?usp=sharing"",""เพชรบูรณ์!J427"")"),0)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IFERROR(__xludf.DUMMYFUNCTION("IMPORTRANGE(""https://docs.google.com/spreadsheets/d/11923uPwbBZFjjGgGUA6NLw09EwE0CqkOc4q9oUmW1yo/edit?usp=sharing"",""เพชรบูรณ์!I428"")"),22)</f>
        <v>22</v>
      </c>
      <c r="J533" s="408">
        <f ca="1">IFERROR(__xludf.DUMMYFUNCTION("IMPORTRANGE(""https://docs.google.com/spreadsheets/d/11923uPwbBZFjjGgGUA6NLw09EwE0CqkOc4q9oUmW1yo/edit?usp=sharing"",""เพชรบูรณ์!J428"")"),22)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IFERROR(__xludf.DUMMYFUNCTION("IMPORTRANGE(""https://docs.google.com/spreadsheets/d/11923uPwbBZFjjGgGUA6NLw09EwE0CqkOc4q9oUmW1yo/edit?usp=sharing"",""เพชรบูรณ์!L428"")"),34340)</f>
        <v>34340</v>
      </c>
      <c r="M533" s="410"/>
      <c r="N533" s="410">
        <f ca="1">IFERROR(__xludf.DUMMYFUNCTION("IMPORTRANGE(""https://docs.google.com/spreadsheets/d/11923uPwbBZFjjGgGUA6NLw09EwE0CqkOc4q9oUmW1yo/edit?usp=sharing"",""เพชรบูรณ์!M428"")"),17161)</f>
        <v>17161</v>
      </c>
      <c r="O533" s="410">
        <f t="shared" ref="O533:O537" ca="1" si="118">+IF(L533&gt;0,N533*100/L533,0)</f>
        <v>49.973791496796736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IFERROR(__xludf.DUMMYFUNCTION("IMPORTRANGE(""https://docs.google.com/spreadsheets/d/11923uPwbBZFjjGgGUA6NLw09EwE0CqkOc4q9oUmW1yo/edit?usp=sharing"",""เพชรบูรณ์!L429"")"),0)</f>
        <v>0</v>
      </c>
      <c r="M534" s="164"/>
      <c r="N534" s="168">
        <f ca="1">IFERROR(__xludf.DUMMYFUNCTION("IMPORTRANGE(""https://docs.google.com/spreadsheets/d/11923uPwbBZFjjGgGUA6NLw09EwE0CqkOc4q9oUmW1yo/edit?usp=sharing"",""เพชรบูรณ์!M429"")"),0)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IFERROR(__xludf.DUMMYFUNCTION("IMPORTRANGE(""https://docs.google.com/spreadsheets/d/11923uPwbBZFjjGgGUA6NLw09EwE0CqkOc4q9oUmW1yo/edit?usp=sharing"",""เพชรบูรณ์!L430"")"),34340)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IFERROR(__xludf.DUMMYFUNCTION("IMPORTRANGE(""https://docs.google.com/spreadsheets/d/11923uPwbBZFjjGgGUA6NLw09EwE0CqkOc4q9oUmW1yo/edit?usp=sharing"",""เพชรบูรณ์!M430"")"),17161)</f>
        <v>17161</v>
      </c>
      <c r="O535" s="168">
        <f t="shared" ca="1" si="118"/>
        <v>49.973791496796736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IFERROR(__xludf.DUMMYFUNCTION("IMPORTRANGE(""https://docs.google.com/spreadsheets/d/11923uPwbBZFjjGgGUA6NLw09EwE0CqkOc4q9oUmW1yo/edit?usp=sharing"",""เพชรบูรณ์!L431"")"),0)</f>
        <v>0</v>
      </c>
      <c r="M536" s="168"/>
      <c r="N536" s="168">
        <f ca="1">IFERROR(__xludf.DUMMYFUNCTION("IMPORTRANGE(""https://docs.google.com/spreadsheets/d/11923uPwbBZFjjGgGUA6NLw09EwE0CqkOc4q9oUmW1yo/edit?usp=sharing"",""เพชรบูรณ์!M431"")"),0)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IFERROR(__xludf.DUMMYFUNCTION("IMPORTRANGE(""https://docs.google.com/spreadsheets/d/11923uPwbBZFjjGgGUA6NLw09EwE0CqkOc4q9oUmW1yo/edit?usp=sharing"",""เพชรบูรณ์!L432"")"),34340)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IFERROR(__xludf.DUMMYFUNCTION("IMPORTRANGE(""https://docs.google.com/spreadsheets/d/11923uPwbBZFjjGgGUA6NLw09EwE0CqkOc4q9oUmW1yo/edit?usp=sharing"",""เพชรบูรณ์!M432"")"),17161)</f>
        <v>17161</v>
      </c>
      <c r="O537" s="168">
        <f t="shared" ca="1" si="118"/>
        <v>49.973791496796736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IFERROR(__xludf.DUMMYFUNCTION("IMPORTRANGE(""https://docs.google.com/spreadsheets/d/11923uPwbBZFjjGgGUA6NLw09EwE0CqkOc4q9oUmW1yo/edit?usp=sharing"",""เพชรบูรณ์!M433"")"),17161)</f>
        <v>17161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IFERROR(__xludf.DUMMYFUNCTION("IMPORTRANGE(""https://docs.google.com/spreadsheets/d/11923uPwbBZFjjGgGUA6NLw09EwE0CqkOc4q9oUmW1yo/edit?usp=sharing"",""เพชรบูรณ์!M434"")"),0)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IFERROR(__xludf.DUMMYFUNCTION("IMPORTRANGE(""https://docs.google.com/spreadsheets/d/11923uPwbBZFjjGgGUA6NLw09EwE0CqkOc4q9oUmW1yo/edit?usp=sharing"",""เพชรบูรณ์!M435"")"),0)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IFERROR(__xludf.DUMMYFUNCTION("IMPORTRANGE(""https://docs.google.com/spreadsheets/d/11923uPwbBZFjjGgGUA6NLw09EwE0CqkOc4q9oUmW1yo/edit?usp=sharing"",""เพชรบูรณ์!M436"")"),0)</f>
        <v>0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IFERROR(__xludf.DUMMYFUNCTION("IMPORTRANGE(""https://docs.google.com/spreadsheets/d/11923uPwbBZFjjGgGUA6NLw09EwE0CqkOc4q9oUmW1yo/edit?usp=sharing"",""เพชรบูรณ์!J438"")"),0)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IFERROR(__xludf.DUMMYFUNCTION("IMPORTRANGE(""https://docs.google.com/spreadsheets/d/11923uPwbBZFjjGgGUA6NLw09EwE0CqkOc4q9oUmW1yo/edit?usp=sharing"",""เพชรบูรณ์!J439"")"),1)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IFERROR(__xludf.DUMMYFUNCTION("IMPORTRANGE(""https://docs.google.com/spreadsheets/d/11923uPwbBZFjjGgGUA6NLw09EwE0CqkOc4q9oUmW1yo/edit?usp=sharing"",""เพชรบูรณ์!J440"")"),1)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IFERROR(__xludf.DUMMYFUNCTION("IMPORTRANGE(""https://docs.google.com/spreadsheets/d/11923uPwbBZFjjGgGUA6NLw09EwE0CqkOc4q9oUmW1yo/edit?usp=sharing"",""เพชรบูรณ์!J441"")"),1)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IFERROR(__xludf.DUMMYFUNCTION("IMPORTRANGE(""https://docs.google.com/spreadsheets/d/11923uPwbBZFjjGgGUA6NLw09EwE0CqkOc4q9oUmW1yo/edit?usp=sharing"",""เพชรบูรณ์!I442"")"),22)</f>
        <v>22</v>
      </c>
      <c r="J547" s="188">
        <f ca="1">IFERROR(__xludf.DUMMYFUNCTION("IMPORTRANGE(""https://docs.google.com/spreadsheets/d/11923uPwbBZFjjGgGUA6NLw09EwE0CqkOc4q9oUmW1yo/edit?usp=sharing"",""เพชรบูรณ์!J442"")"),22)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IFERROR(__xludf.DUMMYFUNCTION("IMPORTRANGE(""https://docs.google.com/spreadsheets/d/11923uPwbBZFjjGgGUA6NLw09EwE0CqkOc4q9oUmW1yo/edit?usp=sharing"",""เพชรบูรณ์!J166"")"),0)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IFERROR(__xludf.DUMMYFUNCTION("IMPORTRANGE(""https://docs.google.com/spreadsheets/d/11923uPwbBZFjjGgGUA6NLw09EwE0CqkOc4q9oUmW1yo/edit?usp=sharing"",""เพชรบูรณ์!J444"")"),0)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IFERROR(__xludf.DUMMYFUNCTION("IMPORTRANGE(""https://docs.google.com/spreadsheets/d/11923uPwbBZFjjGgGUA6NLw09EwE0CqkOc4q9oUmW1yo/edit?usp=sharing"",""เพชรบูรณ์!J445"")"),0)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IFERROR(__xludf.DUMMYFUNCTION("IMPORTRANGE(""https://docs.google.com/spreadsheets/d/11923uPwbBZFjjGgGUA6NLw09EwE0CqkOc4q9oUmW1yo/edit?usp=sharing"",""เพชรบูรณ์!I446"")"),0)</f>
        <v>0</v>
      </c>
      <c r="J551" s="408">
        <f ca="1">IFERROR(__xludf.DUMMYFUNCTION("IMPORTRANGE(""https://docs.google.com/spreadsheets/d/11923uPwbBZFjjGgGUA6NLw09EwE0CqkOc4q9oUmW1yo/edit?usp=sharing"",""เพชรบูรณ์!J446"")"),0)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IFERROR(__xludf.DUMMYFUNCTION("IMPORTRANGE(""https://docs.google.com/spreadsheets/d/11923uPwbBZFjjGgGUA6NLw09EwE0CqkOc4q9oUmW1yo/edit?usp=sharing"",""เพชรบูรณ์!L446"")"),0)</f>
        <v>0</v>
      </c>
      <c r="M551" s="410"/>
      <c r="N551" s="410">
        <f ca="1">IFERROR(__xludf.DUMMYFUNCTION("IMPORTRANGE(""https://docs.google.com/spreadsheets/d/11923uPwbBZFjjGgGUA6NLw09EwE0CqkOc4q9oUmW1yo/edit?usp=sharing"",""เพชรบูรณ์!M446"")"),0)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IFERROR(__xludf.DUMMYFUNCTION("IMPORTRANGE(""https://docs.google.com/spreadsheets/d/11923uPwbBZFjjGgGUA6NLw09EwE0CqkOc4q9oUmW1yo/edit?usp=sharing"",""เพชรบูรณ์!L447"")"),0)</f>
        <v>0</v>
      </c>
      <c r="M552" s="164"/>
      <c r="N552" s="168">
        <f ca="1">IFERROR(__xludf.DUMMYFUNCTION("IMPORTRANGE(""https://docs.google.com/spreadsheets/d/11923uPwbBZFjjGgGUA6NLw09EwE0CqkOc4q9oUmW1yo/edit?usp=sharing"",""เพชรบูรณ์!M447"")"),0)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IFERROR(__xludf.DUMMYFUNCTION("IMPORTRANGE(""https://docs.google.com/spreadsheets/d/11923uPwbBZFjjGgGUA6NLw09EwE0CqkOc4q9oUmW1yo/edit?usp=sharing"",""เพชรบูรณ์!L448"")"),0)</f>
        <v>0</v>
      </c>
      <c r="M553" s="165"/>
      <c r="N553" s="168">
        <f ca="1">IFERROR(__xludf.DUMMYFUNCTION("IMPORTRANGE(""https://docs.google.com/spreadsheets/d/11923uPwbBZFjjGgGUA6NLw09EwE0CqkOc4q9oUmW1yo/edit?usp=sharing"",""เพชรบูรณ์!M448"")"),0)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IFERROR(__xludf.DUMMYFUNCTION("IMPORTRANGE(""https://docs.google.com/spreadsheets/d/11923uPwbBZFjjGgGUA6NLw09EwE0CqkOc4q9oUmW1yo/edit?usp=sharing"",""เพชรบูรณ์!L449"")"),0)</f>
        <v>0</v>
      </c>
      <c r="M554" s="168"/>
      <c r="N554" s="168">
        <f ca="1">IFERROR(__xludf.DUMMYFUNCTION("IMPORTRANGE(""https://docs.google.com/spreadsheets/d/11923uPwbBZFjjGgGUA6NLw09EwE0CqkOc4q9oUmW1yo/edit?usp=sharing"",""เพชรบูรณ์!M449"")"),0)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IFERROR(__xludf.DUMMYFUNCTION("IMPORTRANGE(""https://docs.google.com/spreadsheets/d/11923uPwbBZFjjGgGUA6NLw09EwE0CqkOc4q9oUmW1yo/edit?usp=sharing"",""เพชรบูรณ์!L450"")"),0)</f>
        <v>0</v>
      </c>
      <c r="M555" s="168"/>
      <c r="N555" s="168">
        <f ca="1">IFERROR(__xludf.DUMMYFUNCTION("IMPORTRANGE(""https://docs.google.com/spreadsheets/d/11923uPwbBZFjjGgGUA6NLw09EwE0CqkOc4q9oUmW1yo/edit?usp=sharing"",""เพชรบูรณ์!M450"")"),0)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IFERROR(__xludf.DUMMYFUNCTION("IMPORTRANGE(""https://docs.google.com/spreadsheets/d/11923uPwbBZFjjGgGUA6NLw09EwE0CqkOc4q9oUmW1yo/edit?usp=sharing"",""เพชรบูรณ์!M451"")"),0)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IFERROR(__xludf.DUMMYFUNCTION("IMPORTRANGE(""https://docs.google.com/spreadsheets/d/11923uPwbBZFjjGgGUA6NLw09EwE0CqkOc4q9oUmW1yo/edit?usp=sharing"",""เพชรบูรณ์!M452"")"),0)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IFERROR(__xludf.DUMMYFUNCTION("IMPORTRANGE(""https://docs.google.com/spreadsheets/d/11923uPwbBZFjjGgGUA6NLw09EwE0CqkOc4q9oUmW1yo/edit?usp=sharing"",""เพชรบูรณ์!M453"")"),0)</f>
        <v>0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IFERROR(__xludf.DUMMYFUNCTION("IMPORTRANGE(""https://docs.google.com/spreadsheets/d/11923uPwbBZFjjGgGUA6NLw09EwE0CqkOc4q9oUmW1yo/edit?usp=sharing"",""เพชรบูรณ์!M454"")"),0)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IFERROR(__xludf.DUMMYFUNCTION("IMPORTRANGE(""https://docs.google.com/spreadsheets/d/11923uPwbBZFjjGgGUA6NLw09EwE0CqkOc4q9oUmW1yo/edit?usp=sharing"",""เพชรบูรณ์!I455"")"),0)</f>
        <v>0</v>
      </c>
      <c r="J560" s="162">
        <f ca="1">IFERROR(__xludf.DUMMYFUNCTION("IMPORTRANGE(""https://docs.google.com/spreadsheets/d/11923uPwbBZFjjGgGUA6NLw09EwE0CqkOc4q9oUmW1yo/edit?usp=sharing"",""เพชรบูรณ์!J455"")"),0)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IFERROR(__xludf.DUMMYFUNCTION("IMPORTRANGE(""https://docs.google.com/spreadsheets/d/11923uPwbBZFjjGgGUA6NLw09EwE0CqkOc4q9oUmW1yo/edit?usp=sharing"",""เพชรบูรณ์!I456"")"),0)</f>
        <v>0</v>
      </c>
      <c r="J561" s="203">
        <f ca="1">IFERROR(__xludf.DUMMYFUNCTION("IMPORTRANGE(""https://docs.google.com/spreadsheets/d/11923uPwbBZFjjGgGUA6NLw09EwE0CqkOc4q9oUmW1yo/edit?usp=sharing"",""เพชรบูรณ์!J456"")"),0)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f ca="1">IFERROR(__xludf.DUMMYFUNCTION("IMPORTRANGE(""https://docs.google.com/spreadsheets/d/11923uPwbBZFjjGgGUA6NLw09EwE0CqkOc4q9oUmW1yo/edit?usp=sharing"",""เพชรบูรณ์!I457"")"),0)</f>
        <v>0</v>
      </c>
      <c r="J562" s="203" t="str">
        <f ca="1">IFERROR(__xludf.DUMMYFUNCTION("IMPORTRANGE(""https://docs.google.com/spreadsheets/d/11923uPwbBZFjjGgGUA6NLw09EwE0CqkOc4q9oUmW1yo/edit?usp=sharing"",""เพชรบูรณ์!J457"")"),"")</f>
        <v/>
      </c>
      <c r="K562" s="163">
        <f t="shared" ca="1" si="121"/>
        <v>0</v>
      </c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f ca="1">IFERROR(__xludf.DUMMYFUNCTION("IMPORTRANGE(""https://docs.google.com/spreadsheets/d/11923uPwbBZFjjGgGUA6NLw09EwE0CqkOc4q9oUmW1yo/edit?usp=sharing"",""เพชรบูรณ์!I458"")"),0)</f>
        <v>0</v>
      </c>
      <c r="J563" s="187" t="str">
        <f ca="1">IFERROR(__xludf.DUMMYFUNCTION("IMPORTRANGE(""https://docs.google.com/spreadsheets/d/11923uPwbBZFjjGgGUA6NLw09EwE0CqkOc4q9oUmW1yo/edit?usp=sharing"",""เพชรบูรณ์!J458"")"),"")</f>
        <v/>
      </c>
      <c r="K563" s="163">
        <f t="shared" ca="1" si="121"/>
        <v>0</v>
      </c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IFERROR(__xludf.DUMMYFUNCTION("IMPORTRANGE(""https://docs.google.com/spreadsheets/d/11923uPwbBZFjjGgGUA6NLw09EwE0CqkOc4q9oUmW1yo/edit?usp=sharing"",""เพชรบูรณ์!I459"")"),3850)</f>
        <v>3850</v>
      </c>
      <c r="J564" s="369">
        <f ca="1">IFERROR(__xludf.DUMMYFUNCTION("IMPORTRANGE(""https://docs.google.com/spreadsheets/d/11923uPwbBZFjjGgGUA6NLw09EwE0CqkOc4q9oUmW1yo/edit?usp=sharing"",""เพชรบูรณ์!J459"")"),4801)</f>
        <v>4801</v>
      </c>
      <c r="K564" s="370">
        <f t="shared" ca="1" si="121"/>
        <v>124.7012987012987</v>
      </c>
      <c r="L564" s="371">
        <f ca="1">IFERROR(__xludf.DUMMYFUNCTION("IMPORTRANGE(""https://docs.google.com/spreadsheets/d/11923uPwbBZFjjGgGUA6NLw09EwE0CqkOc4q9oUmW1yo/edit?usp=sharing"",""เพชรบูรณ์!L459"")"),157200)</f>
        <v>157200</v>
      </c>
      <c r="M564" s="371"/>
      <c r="N564" s="371">
        <f ca="1">IFERROR(__xludf.DUMMYFUNCTION("IMPORTRANGE(""https://docs.google.com/spreadsheets/d/11923uPwbBZFjjGgGUA6NLw09EwE0CqkOc4q9oUmW1yo/edit?usp=sharing"",""เพชรบูรณ์!M459"")"),79681.4599999999)</f>
        <v>79681.459999999905</v>
      </c>
      <c r="O564" s="371">
        <f t="shared" ref="O564:O568" ca="1" si="122">+IF(L564&gt;0,N564*100/L564,0)</f>
        <v>50.687951653943962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IFERROR(__xludf.DUMMYFUNCTION("IMPORTRANGE(""https://docs.google.com/spreadsheets/d/11923uPwbBZFjjGgGUA6NLw09EwE0CqkOc4q9oUmW1yo/edit?usp=sharing"",""เพชรบูรณ์!L460"")"),0)</f>
        <v>0</v>
      </c>
      <c r="M565" s="164"/>
      <c r="N565" s="168">
        <f ca="1">IFERROR(__xludf.DUMMYFUNCTION("IMPORTRANGE(""https://docs.google.com/spreadsheets/d/11923uPwbBZFjjGgGUA6NLw09EwE0CqkOc4q9oUmW1yo/edit?usp=sharing"",""เพชรบูรณ์!M460"")"),0)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IFERROR(__xludf.DUMMYFUNCTION("IMPORTRANGE(""https://docs.google.com/spreadsheets/d/11923uPwbBZFjjGgGUA6NLw09EwE0CqkOc4q9oUmW1yo/edit?usp=sharing"",""เพชรบูรณ์!L461"")"),157200)</f>
        <v>157200</v>
      </c>
      <c r="M566" s="165"/>
      <c r="N566" s="168">
        <f ca="1">IFERROR(__xludf.DUMMYFUNCTION("IMPORTRANGE(""https://docs.google.com/spreadsheets/d/11923uPwbBZFjjGgGUA6NLw09EwE0CqkOc4q9oUmW1yo/edit?usp=sharing"",""เพชรบูรณ์!M461"")"),79681.4599999999)</f>
        <v>79681.459999999905</v>
      </c>
      <c r="O566" s="168">
        <f t="shared" ca="1" si="122"/>
        <v>50.687951653943962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IFERROR(__xludf.DUMMYFUNCTION("IMPORTRANGE(""https://docs.google.com/spreadsheets/d/11923uPwbBZFjjGgGUA6NLw09EwE0CqkOc4q9oUmW1yo/edit?usp=sharing"",""เพชรบูรณ์!L462"")"),0)</f>
        <v>0</v>
      </c>
      <c r="M567" s="168"/>
      <c r="N567" s="168">
        <f ca="1">IFERROR(__xludf.DUMMYFUNCTION("IMPORTRANGE(""https://docs.google.com/spreadsheets/d/11923uPwbBZFjjGgGUA6NLw09EwE0CqkOc4q9oUmW1yo/edit?usp=sharing"",""เพชรบูรณ์!M462"")"),0)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IFERROR(__xludf.DUMMYFUNCTION("IMPORTRANGE(""https://docs.google.com/spreadsheets/d/11923uPwbBZFjjGgGUA6NLw09EwE0CqkOc4q9oUmW1yo/edit?usp=sharing"",""เพชรบูรณ์!L463"")"),157200)</f>
        <v>157200</v>
      </c>
      <c r="M568" s="168"/>
      <c r="N568" s="168">
        <f ca="1">IFERROR(__xludf.DUMMYFUNCTION("IMPORTRANGE(""https://docs.google.com/spreadsheets/d/11923uPwbBZFjjGgGUA6NLw09EwE0CqkOc4q9oUmW1yo/edit?usp=sharing"",""เพชรบูรณ์!M463"")"),79681.4599999999)</f>
        <v>79681.459999999905</v>
      </c>
      <c r="O568" s="168">
        <f t="shared" ca="1" si="122"/>
        <v>50.687951653943962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IFERROR(__xludf.DUMMYFUNCTION("IMPORTRANGE(""https://docs.google.com/spreadsheets/d/11923uPwbBZFjjGgGUA6NLw09EwE0CqkOc4q9oUmW1yo/edit?usp=sharing"",""เพชรบูรณ์!M464"")"),0)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IFERROR(__xludf.DUMMYFUNCTION("IMPORTRANGE(""https://docs.google.com/spreadsheets/d/11923uPwbBZFjjGgGUA6NLw09EwE0CqkOc4q9oUmW1yo/edit?usp=sharing"",""เพชรบูรณ์!M465"")"),0)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IFERROR(__xludf.DUMMYFUNCTION("IMPORTRANGE(""https://docs.google.com/spreadsheets/d/11923uPwbBZFjjGgGUA6NLw09EwE0CqkOc4q9oUmW1yo/edit?usp=sharing"",""เพชรบูรณ์!M466"")"),65248)</f>
        <v>65248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IFERROR(__xludf.DUMMYFUNCTION("IMPORTRANGE(""https://docs.google.com/spreadsheets/d/11923uPwbBZFjjGgGUA6NLw09EwE0CqkOc4q9oUmW1yo/edit?usp=sharing"",""เพชรบูรณ์!M467"")"),14433.46)</f>
        <v>14433.46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IFERROR(__xludf.DUMMYFUNCTION("IMPORTRANGE(""https://docs.google.com/spreadsheets/d/11923uPwbBZFjjGgGUA6NLw09EwE0CqkOc4q9oUmW1yo/edit?usp=sharing"",""เพชรบูรณ์!I468"")"),3850)</f>
        <v>3850</v>
      </c>
      <c r="J573" s="418">
        <f ca="1">IFERROR(__xludf.DUMMYFUNCTION("IMPORTRANGE(""https://docs.google.com/spreadsheets/d/11923uPwbBZFjjGgGUA6NLw09EwE0CqkOc4q9oUmW1yo/edit?usp=sharing"",""เพชรบูรณ์!J468"")"),4801)</f>
        <v>4801</v>
      </c>
      <c r="K573" s="201">
        <f ca="1">IF(I573&gt;0,J573*100/I573,0)</f>
        <v>124.7012987012987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IFERROR(__xludf.DUMMYFUNCTION("IMPORTRANGE(""https://docs.google.com/spreadsheets/d/11923uPwbBZFjjGgGUA6NLw09EwE0CqkOc4q9oUmW1yo/edit?usp=sharing"",""เพชรบูรณ์!I470"")"),0)</f>
        <v>0</v>
      </c>
      <c r="J575" s="197">
        <f ca="1">IFERROR(__xludf.DUMMYFUNCTION("IMPORTRANGE(""https://docs.google.com/spreadsheets/d/11923uPwbBZFjjGgGUA6NLw09EwE0CqkOc4q9oUmW1yo/edit?usp=sharing"",""เพชรบูรณ์!J470"")"),3)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IFERROR(__xludf.DUMMYFUNCTION("IMPORTRANGE(""https://docs.google.com/spreadsheets/d/11923uPwbBZFjjGgGUA6NLw09EwE0CqkOc4q9oUmW1yo/edit?usp=sharing"",""เพชรบูรณ์!I471"")"),0)</f>
        <v>0</v>
      </c>
      <c r="J576" s="197">
        <f ca="1">IFERROR(__xludf.DUMMYFUNCTION("IMPORTRANGE(""https://docs.google.com/spreadsheets/d/11923uPwbBZFjjGgGUA6NLw09EwE0CqkOc4q9oUmW1yo/edit?usp=sharing"",""เพชรบูรณ์!J471"")"),377)</f>
        <v>377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IFERROR(__xludf.DUMMYFUNCTION("IMPORTRANGE(""https://docs.google.com/spreadsheets/d/11923uPwbBZFjjGgGUA6NLw09EwE0CqkOc4q9oUmW1yo/edit?usp=sharing"",""เพชรบูรณ์!I472"")"),0)</f>
        <v>0</v>
      </c>
      <c r="J577" s="188">
        <f ca="1">IFERROR(__xludf.DUMMYFUNCTION("IMPORTRANGE(""https://docs.google.com/spreadsheets/d/11923uPwbBZFjjGgGUA6NLw09EwE0CqkOc4q9oUmW1yo/edit?usp=sharing"",""เพชรบูรณ์!J472"")"),4358)</f>
        <v>4358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IFERROR(__xludf.DUMMYFUNCTION("IMPORTRANGE(""https://docs.google.com/spreadsheets/d/11923uPwbBZFjjGgGUA6NLw09EwE0CqkOc4q9oUmW1yo/edit?usp=sharing"",""เพชรบูรณ์!I473"")"),0)</f>
        <v>0</v>
      </c>
      <c r="J578" s="197">
        <f ca="1">IFERROR(__xludf.DUMMYFUNCTION("IMPORTRANGE(""https://docs.google.com/spreadsheets/d/11923uPwbBZFjjGgGUA6NLw09EwE0CqkOc4q9oUmW1yo/edit?usp=sharing"",""เพชรบูรณ์!J473"")"),2)</f>
        <v>2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IFERROR(__xludf.DUMMYFUNCTION("IMPORTRANGE(""https://docs.google.com/spreadsheets/d/11923uPwbBZFjjGgGUA6NLw09EwE0CqkOc4q9oUmW1yo/edit?usp=sharing"",""เพชรบูรณ์!I474"")"),0)</f>
        <v>0</v>
      </c>
      <c r="J579" s="197">
        <f ca="1">IFERROR(__xludf.DUMMYFUNCTION("IMPORTRANGE(""https://docs.google.com/spreadsheets/d/11923uPwbBZFjjGgGUA6NLw09EwE0CqkOc4q9oUmW1yo/edit?usp=sharing"",""เพชรบูรณ์!J474"")"),64)</f>
        <v>64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IFERROR(__xludf.DUMMYFUNCTION("IMPORTRANGE(""https://docs.google.com/spreadsheets/d/11923uPwbBZFjjGgGUA6NLw09EwE0CqkOc4q9oUmW1yo/edit?usp=sharing"",""เพชรบูรณ์!I475"")"),300)</f>
        <v>300</v>
      </c>
      <c r="J580" s="369">
        <f ca="1">IFERROR(__xludf.DUMMYFUNCTION("IMPORTRANGE(""https://docs.google.com/spreadsheets/d/11923uPwbBZFjjGgGUA6NLw09EwE0CqkOc4q9oUmW1yo/edit?usp=sharing"",""เพชรบูรณ์!J475"")"),22)</f>
        <v>22</v>
      </c>
      <c r="K580" s="370">
        <f ca="1">IF(I580&gt;0,J580*100/I580,0)</f>
        <v>7.333333333333333</v>
      </c>
      <c r="L580" s="371">
        <f ca="1">IFERROR(__xludf.DUMMYFUNCTION("IMPORTRANGE(""https://docs.google.com/spreadsheets/d/11923uPwbBZFjjGgGUA6NLw09EwE0CqkOc4q9oUmW1yo/edit?usp=sharing"",""เพชรบูรณ์!L475"")"),346950)</f>
        <v>346950</v>
      </c>
      <c r="M580" s="371"/>
      <c r="N580" s="371">
        <f ca="1">IFERROR(__xludf.DUMMYFUNCTION("IMPORTRANGE(""https://docs.google.com/spreadsheets/d/11923uPwbBZFjjGgGUA6NLw09EwE0CqkOc4q9oUmW1yo/edit?usp=sharing"",""เพชรบูรณ์!M475"")"),121686)</f>
        <v>121686</v>
      </c>
      <c r="O580" s="371">
        <f t="shared" ref="O580:O584" ca="1" si="124">+IF(L580&gt;0,N580*100/L580,0)</f>
        <v>35.073065283182018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IFERROR(__xludf.DUMMYFUNCTION("IMPORTRANGE(""https://docs.google.com/spreadsheets/d/11923uPwbBZFjjGgGUA6NLw09EwE0CqkOc4q9oUmW1yo/edit?usp=sharing"",""เพชรบูรณ์!L476"")"),0)</f>
        <v>0</v>
      </c>
      <c r="M581" s="164"/>
      <c r="N581" s="168">
        <f ca="1">IFERROR(__xludf.DUMMYFUNCTION("IMPORTRANGE(""https://docs.google.com/spreadsheets/d/11923uPwbBZFjjGgGUA6NLw09EwE0CqkOc4q9oUmW1yo/edit?usp=sharing"",""เพชรบูรณ์!M476"")"),0)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IFERROR(__xludf.DUMMYFUNCTION("IMPORTRANGE(""https://docs.google.com/spreadsheets/d/11923uPwbBZFjjGgGUA6NLw09EwE0CqkOc4q9oUmW1yo/edit?usp=sharing"",""เพชรบูรณ์!L477"")"),346950)</f>
        <v>346950</v>
      </c>
      <c r="M582" s="165"/>
      <c r="N582" s="168">
        <f ca="1">IFERROR(__xludf.DUMMYFUNCTION("IMPORTRANGE(""https://docs.google.com/spreadsheets/d/11923uPwbBZFjjGgGUA6NLw09EwE0CqkOc4q9oUmW1yo/edit?usp=sharing"",""เพชรบูรณ์!M477"")"),121686)</f>
        <v>121686</v>
      </c>
      <c r="O582" s="168">
        <f t="shared" ca="1" si="124"/>
        <v>35.073065283182018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IFERROR(__xludf.DUMMYFUNCTION("IMPORTRANGE(""https://docs.google.com/spreadsheets/d/11923uPwbBZFjjGgGUA6NLw09EwE0CqkOc4q9oUmW1yo/edit?usp=sharing"",""เพชรบูรณ์!L478"")"),0)</f>
        <v>0</v>
      </c>
      <c r="M583" s="168"/>
      <c r="N583" s="168">
        <f ca="1">IFERROR(__xludf.DUMMYFUNCTION("IMPORTRANGE(""https://docs.google.com/spreadsheets/d/11923uPwbBZFjjGgGUA6NLw09EwE0CqkOc4q9oUmW1yo/edit?usp=sharing"",""เพชรบูรณ์!M478"")"),0)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IFERROR(__xludf.DUMMYFUNCTION("IMPORTRANGE(""https://docs.google.com/spreadsheets/d/11923uPwbBZFjjGgGUA6NLw09EwE0CqkOc4q9oUmW1yo/edit?usp=sharing"",""เพชรบูรณ์!L479"")"),346950)</f>
        <v>346950</v>
      </c>
      <c r="M584" s="168"/>
      <c r="N584" s="168">
        <f ca="1">IFERROR(__xludf.DUMMYFUNCTION("IMPORTRANGE(""https://docs.google.com/spreadsheets/d/11923uPwbBZFjjGgGUA6NLw09EwE0CqkOc4q9oUmW1yo/edit?usp=sharing"",""เพชรบูรณ์!M479"")"),121686)</f>
        <v>121686</v>
      </c>
      <c r="O584" s="168">
        <f t="shared" ca="1" si="124"/>
        <v>35.073065283182018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IFERROR(__xludf.DUMMYFUNCTION("IMPORTRANGE(""https://docs.google.com/spreadsheets/d/11923uPwbBZFjjGgGUA6NLw09EwE0CqkOc4q9oUmW1yo/edit?usp=sharing"",""เพชรบูรณ์!M480"")"),0)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IFERROR(__xludf.DUMMYFUNCTION("IMPORTRANGE(""https://docs.google.com/spreadsheets/d/11923uPwbBZFjjGgGUA6NLw09EwE0CqkOc4q9oUmW1yo/edit?usp=sharing"",""เพชรบูรณ์!M481"")"),0)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IFERROR(__xludf.DUMMYFUNCTION("IMPORTRANGE(""https://docs.google.com/spreadsheets/d/11923uPwbBZFjjGgGUA6NLw09EwE0CqkOc4q9oUmW1yo/edit?usp=sharing"",""เพชรบูรณ์!M482"")"),59026)</f>
        <v>59026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IFERROR(__xludf.DUMMYFUNCTION("IMPORTRANGE(""https://docs.google.com/spreadsheets/d/11923uPwbBZFjjGgGUA6NLw09EwE0CqkOc4q9oUmW1yo/edit?usp=sharing"",""เพชรบูรณ์!M483"")"),62660)</f>
        <v>62660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IFERROR(__xludf.DUMMYFUNCTION("IMPORTRANGE(""https://docs.google.com/spreadsheets/d/11923uPwbBZFjjGgGUA6NLw09EwE0CqkOc4q9oUmW1yo/edit?usp=sharing"",""เพชรบูรณ์!I484"")"),300)</f>
        <v>300</v>
      </c>
      <c r="J589" s="187">
        <f ca="1">IFERROR(__xludf.DUMMYFUNCTION("IMPORTRANGE(""https://docs.google.com/spreadsheets/d/11923uPwbBZFjjGgGUA6NLw09EwE0CqkOc4q9oUmW1yo/edit?usp=sharing"",""เพชรบูรณ์!J484"")"),164)</f>
        <v>164</v>
      </c>
      <c r="K589" s="163">
        <f t="shared" ref="K589:K596" ca="1" si="125">IF(I589&gt;0,J589*100/I589,0)</f>
        <v>54.666666666666664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IFERROR(__xludf.DUMMYFUNCTION("IMPORTRANGE(""https://docs.google.com/spreadsheets/d/11923uPwbBZFjjGgGUA6NLw09EwE0CqkOc4q9oUmW1yo/edit?usp=sharing"",""เพชรบูรณ์!I485"")"),0)</f>
        <v>0</v>
      </c>
      <c r="J590" s="187">
        <f ca="1">IFERROR(__xludf.DUMMYFUNCTION("IMPORTRANGE(""https://docs.google.com/spreadsheets/d/11923uPwbBZFjjGgGUA6NLw09EwE0CqkOc4q9oUmW1yo/edit?usp=sharing"",""เพชรบูรณ์!J485"")"),106.68)</f>
        <v>106.68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IFERROR(__xludf.DUMMYFUNCTION("IMPORTRANGE(""https://docs.google.com/spreadsheets/d/11923uPwbBZFjjGgGUA6NLw09EwE0CqkOc4q9oUmW1yo/edit?usp=sharing"",""เพชรบูรณ์!I486"")"),300)</f>
        <v>300</v>
      </c>
      <c r="J591" s="187">
        <f ca="1">IFERROR(__xludf.DUMMYFUNCTION("IMPORTRANGE(""https://docs.google.com/spreadsheets/d/11923uPwbBZFjjGgGUA6NLw09EwE0CqkOc4q9oUmW1yo/edit?usp=sharing"",""เพชรบูรณ์!J486"")"),21)</f>
        <v>21</v>
      </c>
      <c r="K591" s="163">
        <f t="shared" ca="1" si="125"/>
        <v>7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IFERROR(__xludf.DUMMYFUNCTION("IMPORTRANGE(""https://docs.google.com/spreadsheets/d/11923uPwbBZFjjGgGUA6NLw09EwE0CqkOc4q9oUmW1yo/edit?usp=sharing"",""เพชรบูรณ์!I487"")"),0)</f>
        <v>0</v>
      </c>
      <c r="J592" s="187">
        <f ca="1">IFERROR(__xludf.DUMMYFUNCTION("IMPORTRANGE(""https://docs.google.com/spreadsheets/d/11923uPwbBZFjjGgGUA6NLw09EwE0CqkOc4q9oUmW1yo/edit?usp=sharing"",""เพชรบูรณ์!J487"")"),11.65)</f>
        <v>11.65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IFERROR(__xludf.DUMMYFUNCTION("IMPORTRANGE(""https://docs.google.com/spreadsheets/d/11923uPwbBZFjjGgGUA6NLw09EwE0CqkOc4q9oUmW1yo/edit?usp=sharing"",""เพชรบูรณ์!I488"")"),300)</f>
        <v>300</v>
      </c>
      <c r="J593" s="187">
        <f ca="1">IFERROR(__xludf.DUMMYFUNCTION("IMPORTRANGE(""https://docs.google.com/spreadsheets/d/11923uPwbBZFjjGgGUA6NLw09EwE0CqkOc4q9oUmW1yo/edit?usp=sharing"",""เพชรบูรณ์!J488"")"),0)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IFERROR(__xludf.DUMMYFUNCTION("IMPORTRANGE(""https://docs.google.com/spreadsheets/d/11923uPwbBZFjjGgGUA6NLw09EwE0CqkOc4q9oUmW1yo/edit?usp=sharing"",""เพชรบูรณ์!I489"")"),0)</f>
        <v>0</v>
      </c>
      <c r="J594" s="187">
        <f ca="1">IFERROR(__xludf.DUMMYFUNCTION("IMPORTRANGE(""https://docs.google.com/spreadsheets/d/11923uPwbBZFjjGgGUA6NLw09EwE0CqkOc4q9oUmW1yo/edit?usp=sharing"",""เพชรบูรณ์!J489"")"),0)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IFERROR(__xludf.DUMMYFUNCTION("IMPORTRANGE(""https://docs.google.com/spreadsheets/d/11923uPwbBZFjjGgGUA6NLw09EwE0CqkOc4q9oUmW1yo/edit?usp=sharing"",""เพชรบูรณ์!I490"")"),300)</f>
        <v>300</v>
      </c>
      <c r="J595" s="187">
        <f ca="1">IFERROR(__xludf.DUMMYFUNCTION("IMPORTRANGE(""https://docs.google.com/spreadsheets/d/11923uPwbBZFjjGgGUA6NLw09EwE0CqkOc4q9oUmW1yo/edit?usp=sharing"",""เพชรบูรณ์!J490"")"),22)</f>
        <v>22</v>
      </c>
      <c r="K595" s="163">
        <f t="shared" ca="1" si="125"/>
        <v>7.333333333333333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IFERROR(__xludf.DUMMYFUNCTION("IMPORTRANGE(""https://docs.google.com/spreadsheets/d/11923uPwbBZFjjGgGUA6NLw09EwE0CqkOc4q9oUmW1yo/edit?usp=sharing"",""เพชรบูรณ์!I491"")"),0)</f>
        <v>0</v>
      </c>
      <c r="J596" s="240">
        <f ca="1">IFERROR(__xludf.DUMMYFUNCTION("IMPORTRANGE(""https://docs.google.com/spreadsheets/d/11923uPwbBZFjjGgGUA6NLw09EwE0CqkOc4q9oUmW1yo/edit?usp=sharing"",""เพชรบูรณ์!J491"")"),12.6)</f>
        <v>12.6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IFERROR(__xludf.DUMMYFUNCTION("IMPORTRANGE(""https://docs.google.com/spreadsheets/d/11923uPwbBZFjjGgGUA6NLw09EwE0CqkOc4q9oUmW1yo/edit?usp=sharing"",""เพชรบูรณ์!I492"")"),100)</f>
        <v>100</v>
      </c>
      <c r="J597" s="485">
        <f ca="1">IFERROR(__xludf.DUMMYFUNCTION("IMPORTRANGE(""https://docs.google.com/spreadsheets/d/11923uPwbBZFjjGgGUA6NLw09EwE0CqkOc4q9oUmW1yo/edit?usp=sharing"",""เพชรบูรณ์!J492"")"),0)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IFERROR(__xludf.DUMMYFUNCTION("IMPORTRANGE(""https://docs.google.com/spreadsheets/d/11923uPwbBZFjjGgGUA6NLw09EwE0CqkOc4q9oUmW1yo/edit?usp=sharing"",""เพชรบูรณ์!L492"")"),7300)</f>
        <v>7300</v>
      </c>
      <c r="M597" s="410"/>
      <c r="N597" s="410">
        <f ca="1">IFERROR(__xludf.DUMMYFUNCTION("IMPORTRANGE(""https://docs.google.com/spreadsheets/d/11923uPwbBZFjjGgGUA6NLw09EwE0CqkOc4q9oUmW1yo/edit?usp=sharing"",""เพชรบูรณ์!M492"")"),450)</f>
        <v>450</v>
      </c>
      <c r="O597" s="410">
        <f t="shared" ref="O597:O601" ca="1" si="126">+IF(L597&gt;0,N597*100/L597,0)</f>
        <v>6.1643835616438354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IFERROR(__xludf.DUMMYFUNCTION("IMPORTRANGE(""https://docs.google.com/spreadsheets/d/11923uPwbBZFjjGgGUA6NLw09EwE0CqkOc4q9oUmW1yo/edit?usp=sharing"",""เพชรบูรณ์!L493"")"),0)</f>
        <v>0</v>
      </c>
      <c r="M598" s="164"/>
      <c r="N598" s="168">
        <f ca="1">IFERROR(__xludf.DUMMYFUNCTION("IMPORTRANGE(""https://docs.google.com/spreadsheets/d/11923uPwbBZFjjGgGUA6NLw09EwE0CqkOc4q9oUmW1yo/edit?usp=sharing"",""เพชรบูรณ์!M493"")"),0)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IFERROR(__xludf.DUMMYFUNCTION("IMPORTRANGE(""https://docs.google.com/spreadsheets/d/11923uPwbBZFjjGgGUA6NLw09EwE0CqkOc4q9oUmW1yo/edit?usp=sharing"",""เพชรบูรณ์!L494"")"),7300)</f>
        <v>7300</v>
      </c>
      <c r="M599" s="165"/>
      <c r="N599" s="168">
        <f ca="1">IFERROR(__xludf.DUMMYFUNCTION("IMPORTRANGE(""https://docs.google.com/spreadsheets/d/11923uPwbBZFjjGgGUA6NLw09EwE0CqkOc4q9oUmW1yo/edit?usp=sharing"",""เพชรบูรณ์!M494"")"),450)</f>
        <v>450</v>
      </c>
      <c r="O599" s="168">
        <f t="shared" ca="1" si="126"/>
        <v>6.1643835616438354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IFERROR(__xludf.DUMMYFUNCTION("IMPORTRANGE(""https://docs.google.com/spreadsheets/d/11923uPwbBZFjjGgGUA6NLw09EwE0CqkOc4q9oUmW1yo/edit?usp=sharing"",""เพชรบูรณ์!L495"")"),0)</f>
        <v>0</v>
      </c>
      <c r="M600" s="168"/>
      <c r="N600" s="168">
        <f ca="1">IFERROR(__xludf.DUMMYFUNCTION("IMPORTRANGE(""https://docs.google.com/spreadsheets/d/11923uPwbBZFjjGgGUA6NLw09EwE0CqkOc4q9oUmW1yo/edit?usp=sharing"",""เพชรบูรณ์!M495"")"),0)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IFERROR(__xludf.DUMMYFUNCTION("IMPORTRANGE(""https://docs.google.com/spreadsheets/d/11923uPwbBZFjjGgGUA6NLw09EwE0CqkOc4q9oUmW1yo/edit?usp=sharing"",""เพชรบูรณ์!L496"")"),7300)</f>
        <v>7300</v>
      </c>
      <c r="M601" s="168"/>
      <c r="N601" s="168">
        <f ca="1">IFERROR(__xludf.DUMMYFUNCTION("IMPORTRANGE(""https://docs.google.com/spreadsheets/d/11923uPwbBZFjjGgGUA6NLw09EwE0CqkOc4q9oUmW1yo/edit?usp=sharing"",""เพชรบูรณ์!M496"")"),450)</f>
        <v>450</v>
      </c>
      <c r="O601" s="168">
        <f t="shared" ca="1" si="126"/>
        <v>6.1643835616438354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IFERROR(__xludf.DUMMYFUNCTION("IMPORTRANGE(""https://docs.google.com/spreadsheets/d/11923uPwbBZFjjGgGUA6NLw09EwE0CqkOc4q9oUmW1yo/edit?usp=sharing"",""เพชรบูรณ์!M497"")"),0)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IFERROR(__xludf.DUMMYFUNCTION("IMPORTRANGE(""https://docs.google.com/spreadsheets/d/11923uPwbBZFjjGgGUA6NLw09EwE0CqkOc4q9oUmW1yo/edit?usp=sharing"",""เพชรบูรณ์!M498"")"),0)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IFERROR(__xludf.DUMMYFUNCTION("IMPORTRANGE(""https://docs.google.com/spreadsheets/d/11923uPwbBZFjjGgGUA6NLw09EwE0CqkOc4q9oUmW1yo/edit?usp=sharing"",""เพชรบูรณ์!M499"")"),0)</f>
        <v>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IFERROR(__xludf.DUMMYFUNCTION("IMPORTRANGE(""https://docs.google.com/spreadsheets/d/11923uPwbBZFjjGgGUA6NLw09EwE0CqkOc4q9oUmW1yo/edit?usp=sharing"",""เพชรบูรณ์!M500"")"),450)</f>
        <v>450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IFERROR(__xludf.DUMMYFUNCTION("IMPORTRANGE(""https://docs.google.com/spreadsheets/d/11923uPwbBZFjjGgGUA6NLw09EwE0CqkOc4q9oUmW1yo/edit?usp=sharing"",""เพชรบูรณ์!J502"")"),0)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IFERROR(__xludf.DUMMYFUNCTION("IMPORTRANGE(""https://docs.google.com/spreadsheets/d/11923uPwbBZFjjGgGUA6NLw09EwE0CqkOc4q9oUmW1yo/edit?usp=sharing"",""เพชรบูรณ์!J503"")"),1)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IFERROR(__xludf.DUMMYFUNCTION("IMPORTRANGE(""https://docs.google.com/spreadsheets/d/11923uPwbBZFjjGgGUA6NLw09EwE0CqkOc4q9oUmW1yo/edit?usp=sharing"",""เพชรบูรณ์!J166"")"),0)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IFERROR(__xludf.DUMMYFUNCTION("IMPORTRANGE(""https://docs.google.com/spreadsheets/d/11923uPwbBZFjjGgGUA6NLw09EwE0CqkOc4q9oUmW1yo/edit?usp=sharing"",""เพชรบูรณ์!J166"")"),0)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IFERROR(__xludf.DUMMYFUNCTION("IMPORTRANGE(""https://docs.google.com/spreadsheets/d/11923uPwbBZFjjGgGUA6NLw09EwE0CqkOc4q9oUmW1yo/edit?usp=sharing"",""เพชรบูรณ์!I506"")"),100)</f>
        <v>100</v>
      </c>
      <c r="J611" s="162">
        <f ca="1">IFERROR(__xludf.DUMMYFUNCTION("IMPORTRANGE(""https://docs.google.com/spreadsheets/d/11923uPwbBZFjjGgGUA6NLw09EwE0CqkOc4q9oUmW1yo/edit?usp=sharing"",""เพชรบูรณ์!J506"")"),0)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IFERROR(__xludf.DUMMYFUNCTION("IMPORTRANGE(""https://docs.google.com/spreadsheets/d/11923uPwbBZFjjGgGUA6NLw09EwE0CqkOc4q9oUmW1yo/edit?usp=sharing"",""เพชรบูรณ์!I507"")"),0)</f>
        <v>0</v>
      </c>
      <c r="J612" s="197">
        <f ca="1">IFERROR(__xludf.DUMMYFUNCTION("IMPORTRANGE(""https://docs.google.com/spreadsheets/d/11923uPwbBZFjjGgGUA6NLw09EwE0CqkOc4q9oUmW1yo/edit?usp=sharing"",""เพชรบูรณ์!J507"")"),0)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IFERROR(__xludf.DUMMYFUNCTION("IMPORTRANGE(""https://docs.google.com/spreadsheets/d/11923uPwbBZFjjGgGUA6NLw09EwE0CqkOc4q9oUmW1yo/edit?usp=sharing"",""เพชรบูรณ์!I508"")"),0)</f>
        <v>0</v>
      </c>
      <c r="J613" s="197">
        <f ca="1">IFERROR(__xludf.DUMMYFUNCTION("IMPORTRANGE(""https://docs.google.com/spreadsheets/d/11923uPwbBZFjjGgGUA6NLw09EwE0CqkOc4q9oUmW1yo/edit?usp=sharing"",""เพชรบูรณ์!J508"")"),0)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IFERROR(__xludf.DUMMYFUNCTION("IMPORTRANGE(""https://docs.google.com/spreadsheets/d/11923uPwbBZFjjGgGUA6NLw09EwE0CqkOc4q9oUmW1yo/edit?usp=sharing"",""เพชรบูรณ์!I509"")"),0)</f>
        <v>0</v>
      </c>
      <c r="J614" s="197">
        <f ca="1">IFERROR(__xludf.DUMMYFUNCTION("IMPORTRANGE(""https://docs.google.com/spreadsheets/d/11923uPwbBZFjjGgGUA6NLw09EwE0CqkOc4q9oUmW1yo/edit?usp=sharing"",""เพชรบูรณ์!J509"")"),0)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IFERROR(__xludf.DUMMYFUNCTION("IMPORTRANGE(""https://docs.google.com/spreadsheets/d/11923uPwbBZFjjGgGUA6NLw09EwE0CqkOc4q9oUmW1yo/edit?usp=sharing"",""เพชรบูรณ์!I510"")"),0)</f>
        <v>0</v>
      </c>
      <c r="J615" s="197">
        <f ca="1">IFERROR(__xludf.DUMMYFUNCTION("IMPORTRANGE(""https://docs.google.com/spreadsheets/d/11923uPwbBZFjjGgGUA6NLw09EwE0CqkOc4q9oUmW1yo/edit?usp=sharing"",""เพชรบูรณ์!J510"")"),0)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IFERROR(__xludf.DUMMYFUNCTION("IMPORTRANGE(""https://docs.google.com/spreadsheets/d/11923uPwbBZFjjGgGUA6NLw09EwE0CqkOc4q9oUmW1yo/edit?usp=sharing"",""เพชรบูรณ์!I511"")"),0)</f>
        <v>0</v>
      </c>
      <c r="J616" s="197">
        <f ca="1">IFERROR(__xludf.DUMMYFUNCTION("IMPORTRANGE(""https://docs.google.com/spreadsheets/d/11923uPwbBZFjjGgGUA6NLw09EwE0CqkOc4q9oUmW1yo/edit?usp=sharing"",""เพชรบูรณ์!J511"")"),0)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IFERROR(__xludf.DUMMYFUNCTION("IMPORTRANGE(""https://docs.google.com/spreadsheets/d/11923uPwbBZFjjGgGUA6NLw09EwE0CqkOc4q9oUmW1yo/edit?usp=sharing"",""เพชรบูรณ์!I512"")"),0)</f>
        <v>0</v>
      </c>
      <c r="J617" s="187">
        <f ca="1">IFERROR(__xludf.DUMMYFUNCTION("IMPORTRANGE(""https://docs.google.com/spreadsheets/d/11923uPwbBZFjjGgGUA6NLw09EwE0CqkOc4q9oUmW1yo/edit?usp=sharing"",""เพชรบูรณ์!J512"")"),0)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IFERROR(__xludf.DUMMYFUNCTION("IMPORTRANGE(""https://docs.google.com/spreadsheets/d/11923uPwbBZFjjGgGUA6NLw09EwE0CqkOc4q9oUmW1yo/edit?usp=sharing"",""เพชรบูรณ์!I513"")"),0)</f>
        <v>0</v>
      </c>
      <c r="J618" s="188">
        <f ca="1">IFERROR(__xludf.DUMMYFUNCTION("IMPORTRANGE(""https://docs.google.com/spreadsheets/d/11923uPwbBZFjjGgGUA6NLw09EwE0CqkOc4q9oUmW1yo/edit?usp=sharing"",""เพชรบูรณ์!J513"")"),0)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IFERROR(__xludf.DUMMYFUNCTION("IMPORTRANGE(""https://docs.google.com/spreadsheets/d/11923uPwbBZFjjGgGUA6NLw09EwE0CqkOc4q9oUmW1yo/edit?usp=sharing"",""เพชรบูรณ์!I514"")"),0)</f>
        <v>0</v>
      </c>
      <c r="J619" s="188">
        <f ca="1">IFERROR(__xludf.DUMMYFUNCTION("IMPORTRANGE(""https://docs.google.com/spreadsheets/d/11923uPwbBZFjjGgGUA6NLw09EwE0CqkOc4q9oUmW1yo/edit?usp=sharing"",""เพชรบูรณ์!J514"")"),0)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IFERROR(__xludf.DUMMYFUNCTION("IMPORTRANGE(""https://docs.google.com/spreadsheets/d/11923uPwbBZFjjGgGUA6NLw09EwE0CqkOc4q9oUmW1yo/edit?usp=sharing"",""เพชรบูรณ์!I515"")"),0)</f>
        <v>0</v>
      </c>
      <c r="J620" s="202">
        <f ca="1">IFERROR(__xludf.DUMMYFUNCTION("IMPORTRANGE(""https://docs.google.com/spreadsheets/d/11923uPwbBZFjjGgGUA6NLw09EwE0CqkOc4q9oUmW1yo/edit?usp=sharing"",""เพชรบูรณ์!J515"")"),0)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IFERROR(__xludf.DUMMYFUNCTION("IMPORTRANGE(""https://docs.google.com/spreadsheets/d/11923uPwbBZFjjGgGUA6NLw09EwE0CqkOc4q9oUmW1yo/edit?usp=sharing"",""เพชรบูรณ์!I516"")"),0)</f>
        <v>0</v>
      </c>
      <c r="J621" s="202">
        <f ca="1">IFERROR(__xludf.DUMMYFUNCTION("IMPORTRANGE(""https://docs.google.com/spreadsheets/d/11923uPwbBZFjjGgGUA6NLw09EwE0CqkOc4q9oUmW1yo/edit?usp=sharing"",""เพชรบูรณ์!J516"")"),0)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IFERROR(__xludf.DUMMYFUNCTION("IMPORTRANGE(""https://docs.google.com/spreadsheets/d/11923uPwbBZFjjGgGUA6NLw09EwE0CqkOc4q9oUmW1yo/edit?usp=sharing"",""เพชรบูรณ์!I517"")"),0)</f>
        <v>0</v>
      </c>
      <c r="J622" s="188">
        <f ca="1">IFERROR(__xludf.DUMMYFUNCTION("IMPORTRANGE(""https://docs.google.com/spreadsheets/d/11923uPwbBZFjjGgGUA6NLw09EwE0CqkOc4q9oUmW1yo/edit?usp=sharing"",""เพชรบูรณ์!J517"")"),0)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IFERROR(__xludf.DUMMYFUNCTION("IMPORTRANGE(""https://docs.google.com/spreadsheets/d/11923uPwbBZFjjGgGUA6NLw09EwE0CqkOc4q9oUmW1yo/edit?usp=sharing"",""เพชรบูรณ์!I518"")"),0)</f>
        <v>0</v>
      </c>
      <c r="J623" s="188">
        <f ca="1">IFERROR(__xludf.DUMMYFUNCTION("IMPORTRANGE(""https://docs.google.com/spreadsheets/d/11923uPwbBZFjjGgGUA6NLw09EwE0CqkOc4q9oUmW1yo/edit?usp=sharing"",""เพชรบูรณ์!J518"")"),0)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IFERROR(__xludf.DUMMYFUNCTION("IMPORTRANGE(""https://docs.google.com/spreadsheets/d/11923uPwbBZFjjGgGUA6NLw09EwE0CqkOc4q9oUmW1yo/edit?usp=sharing"",""เพชรบูรณ์!I519"")"),0)</f>
        <v>0</v>
      </c>
      <c r="J624" s="187">
        <f ca="1">IFERROR(__xludf.DUMMYFUNCTION("IMPORTRANGE(""https://docs.google.com/spreadsheets/d/11923uPwbBZFjjGgGUA6NLw09EwE0CqkOc4q9oUmW1yo/edit?usp=sharing"",""เพชรบูรณ์!J519"")"),0)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IFERROR(__xludf.DUMMYFUNCTION("IMPORTRANGE(""https://docs.google.com/spreadsheets/d/11923uPwbBZFjjGgGUA6NLw09EwE0CqkOc4q9oUmW1yo/edit?usp=sharing"",""เพชรบูรณ์!I520"")"),0)</f>
        <v>0</v>
      </c>
      <c r="J625" s="188">
        <f ca="1">IFERROR(__xludf.DUMMYFUNCTION("IMPORTRANGE(""https://docs.google.com/spreadsheets/d/11923uPwbBZFjjGgGUA6NLw09EwE0CqkOc4q9oUmW1yo/edit?usp=sharing"",""เพชรบูรณ์!J520"")"),0)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IFERROR(__xludf.DUMMYFUNCTION("IMPORTRANGE(""https://docs.google.com/spreadsheets/d/11923uPwbBZFjjGgGUA6NLw09EwE0CqkOc4q9oUmW1yo/edit?usp=sharing"",""เพชรบูรณ์!I521"")"),0)</f>
        <v>0</v>
      </c>
      <c r="J626" s="188">
        <f ca="1">IFERROR(__xludf.DUMMYFUNCTION("IMPORTRANGE(""https://docs.google.com/spreadsheets/d/11923uPwbBZFjjGgGUA6NLw09EwE0CqkOc4q9oUmW1yo/edit?usp=sharing"",""เพชรบูรณ์!J521"")"),0)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IFERROR(__xludf.DUMMYFUNCTION("IMPORTRANGE(""https://docs.google.com/spreadsheets/d/11923uPwbBZFjjGgGUA6NLw09EwE0CqkOc4q9oUmW1yo/edit?usp=sharing"",""เพชรบูรณ์!I523"")"),20013464.24)</f>
        <v>20013464.239999998</v>
      </c>
      <c r="J628" s="339">
        <f ca="1">IFERROR(__xludf.DUMMYFUNCTION("IMPORTRANGE(""https://docs.google.com/spreadsheets/d/11923uPwbBZFjjGgGUA6NLw09EwE0CqkOc4q9oUmW1yo/edit?usp=sharing"",""เพชรบูรณ์!J523"")"),4488749.16)</f>
        <v>4488749.16</v>
      </c>
      <c r="K628" s="340">
        <f t="shared" ref="K628:K635" ca="1" si="129">IF(I628&gt;0,J628*100/I628,0)</f>
        <v>22.428646565988021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IFERROR(__xludf.DUMMYFUNCTION("IMPORTRANGE(""https://docs.google.com/spreadsheets/d/11923uPwbBZFjjGgGUA6NLw09EwE0CqkOc4q9oUmW1yo/edit?usp=sharing"",""เพชรบูรณ์!I524"")"),654)</f>
        <v>654</v>
      </c>
      <c r="J629" s="339">
        <f ca="1">IFERROR(__xludf.DUMMYFUNCTION("IMPORTRANGE(""https://docs.google.com/spreadsheets/d/11923uPwbBZFjjGgGUA6NLw09EwE0CqkOc4q9oUmW1yo/edit?usp=sharing"",""เพชรบูรณ์!J524"")"),130)</f>
        <v>130</v>
      </c>
      <c r="K629" s="340">
        <f t="shared" ca="1" si="129"/>
        <v>19.877675840978593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39">
        <f ca="1">IFERROR(__xludf.DUMMYFUNCTION("IMPORTRANGE(""https://docs.google.com/spreadsheets/d/11923uPwbBZFjjGgGUA6NLw09EwE0CqkOc4q9oUmW1yo/edit?usp=sharing"",""เพชรบูรณ์!J525"")"),446423.57)</f>
        <v>446423.57</v>
      </c>
      <c r="K630" s="340">
        <f t="shared" ca="1" si="129"/>
        <v>1.5928922111263069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IFERROR(__xludf.DUMMYFUNCTION("IMPORTRANGE(""https://docs.google.com/spreadsheets/d/11923uPwbBZFjjGgGUA6NLw09EwE0CqkOc4q9oUmW1yo/edit?usp=sharing"",""เพชรบูรณ์!I526"")"),1029)</f>
        <v>1029</v>
      </c>
      <c r="J631" s="339">
        <f ca="1">IFERROR(__xludf.DUMMYFUNCTION("IMPORTRANGE(""https://docs.google.com/spreadsheets/d/11923uPwbBZFjjGgGUA6NLw09EwE0CqkOc4q9oUmW1yo/edit?usp=sharing"",""เพชรบูรณ์!J526"")"),93)</f>
        <v>93</v>
      </c>
      <c r="K631" s="340">
        <f t="shared" ca="1" si="129"/>
        <v>9.037900874635568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39">
        <f ca="1">IFERROR(__xludf.DUMMYFUNCTION("IMPORTRANGE(""https://docs.google.com/spreadsheets/d/11923uPwbBZFjjGgGUA6NLw09EwE0CqkOc4q9oUmW1yo/edit?usp=sharing"",""เพชรบูรณ์!J527"")"),202280.99)</f>
        <v>202280.99</v>
      </c>
      <c r="K632" s="340">
        <f t="shared" ca="1" si="129"/>
        <v>7.6554373541157741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IFERROR(__xludf.DUMMYFUNCTION("IMPORTRANGE(""https://docs.google.com/spreadsheets/d/11923uPwbBZFjjGgGUA6NLw09EwE0CqkOc4q9oUmW1yo/edit?usp=sharing"",""เพชรบูรณ์!I528"")"),133)</f>
        <v>133</v>
      </c>
      <c r="J633" s="339">
        <f ca="1">IFERROR(__xludf.DUMMYFUNCTION("IMPORTRANGE(""https://docs.google.com/spreadsheets/d/11923uPwbBZFjjGgGUA6NLw09EwE0CqkOc4q9oUmW1yo/edit?usp=sharing"",""เพชรบูรณ์!J528"")"),43)</f>
        <v>43</v>
      </c>
      <c r="K633" s="340">
        <f t="shared" ca="1" si="129"/>
        <v>32.330827067669176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39">
        <f ca="1">IFERROR(__xludf.DUMMYFUNCTION("IMPORTRANGE(""https://docs.google.com/spreadsheets/d/11923uPwbBZFjjGgGUA6NLw09EwE0CqkOc4q9oUmW1yo/edit?usp=sharing"",""เพชรบูรณ์!J529"")"),1021000)</f>
        <v>1021000</v>
      </c>
      <c r="K634" s="340">
        <f t="shared" ca="1" si="129"/>
        <v>8.5083333333333329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IFERROR(__xludf.DUMMYFUNCTION("IMPORTRANGE(""https://docs.google.com/spreadsheets/d/11923uPwbBZFjjGgGUA6NLw09EwE0CqkOc4q9oUmW1yo/edit?usp=sharing"",""เพชรบูรณ์!I530"")"),300)</f>
        <v>300</v>
      </c>
      <c r="J635" s="502">
        <f ca="1">IFERROR(__xludf.DUMMYFUNCTION("IMPORTRANGE(""https://docs.google.com/spreadsheets/d/11923uPwbBZFjjGgGUA6NLw09EwE0CqkOc4q9oUmW1yo/edit?usp=sharing"",""เพชรบูรณ์!J530"")"),34)</f>
        <v>34</v>
      </c>
      <c r="K635" s="484">
        <f t="shared" ca="1" si="129"/>
        <v>11.333333333333334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10" width="13.90625" bestFit="1" customWidth="1"/>
    <col min="11" max="11" width="11" bestFit="1" customWidth="1"/>
    <col min="12" max="13" width="20.08984375" customWidth="1"/>
    <col min="14" max="14" width="19.363281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258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15145265</v>
      </c>
      <c r="M8" s="23">
        <f t="shared" ca="1" si="0"/>
        <v>11975905</v>
      </c>
      <c r="N8" s="23">
        <f t="shared" ca="1" si="0"/>
        <v>12396733.4</v>
      </c>
      <c r="O8" s="22">
        <f t="shared" ref="O8:O16" ca="1" si="1">IF(L8&gt;0,N8*100/L8,0)</f>
        <v>81.8522052932055</v>
      </c>
      <c r="P8" s="22">
        <f t="shared" ref="P8:P16" ca="1" si="2">IF(M8&gt;0,N8*100/M8,0)</f>
        <v>103.5139590703166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15145265</v>
      </c>
      <c r="M10" s="30">
        <f t="shared" ca="1" si="4"/>
        <v>11975905</v>
      </c>
      <c r="N10" s="30">
        <f t="shared" ca="1" si="4"/>
        <v>12396733.4</v>
      </c>
      <c r="O10" s="29">
        <f t="shared" ca="1" si="1"/>
        <v>81.8522052932055</v>
      </c>
      <c r="P10" s="29">
        <f t="shared" ca="1" si="2"/>
        <v>103.5139590703166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4664465</v>
      </c>
      <c r="M12" s="38">
        <f t="shared" ca="1" si="6"/>
        <v>1495105</v>
      </c>
      <c r="N12" s="38">
        <f t="shared" ca="1" si="6"/>
        <v>1915933.4</v>
      </c>
      <c r="O12" s="38">
        <f t="shared" ca="1" si="1"/>
        <v>41.07509435701629</v>
      </c>
      <c r="P12" s="38">
        <f t="shared" ca="1" si="2"/>
        <v>128.14707997097193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1871100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2793365</v>
      </c>
      <c r="M14" s="38">
        <f t="shared" si="8"/>
        <v>0</v>
      </c>
      <c r="N14" s="38">
        <f t="shared" ca="1" si="8"/>
        <v>557615.4</v>
      </c>
      <c r="O14" s="38">
        <f t="shared" ca="1" si="1"/>
        <v>19.962138854034471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10480800</v>
      </c>
      <c r="M16" s="38">
        <f t="shared" ca="1" si="10"/>
        <v>10480800</v>
      </c>
      <c r="N16" s="38">
        <f t="shared" ca="1" si="10"/>
        <v>10480800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13281305</v>
      </c>
      <c r="M18" s="23">
        <f t="shared" ca="1" si="11"/>
        <v>11975905</v>
      </c>
      <c r="N18" s="23">
        <f t="shared" ca="1" si="11"/>
        <v>11839118</v>
      </c>
      <c r="O18" s="22">
        <f t="shared" ref="O18:O20" ca="1" si="12">IF(L18&gt;0,N18*100/L18,0)</f>
        <v>89.1412252033968</v>
      </c>
      <c r="P18" s="22">
        <f t="shared" ref="P18:P26" ca="1" si="13">IF(M18&gt;0,N18*100/M18,0)</f>
        <v>98.85781492087655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13281305</v>
      </c>
      <c r="M20" s="30">
        <f t="shared" ca="1" si="15"/>
        <v>11975905</v>
      </c>
      <c r="N20" s="30">
        <f t="shared" ca="1" si="15"/>
        <v>11839118</v>
      </c>
      <c r="O20" s="29">
        <f t="shared" ca="1" si="12"/>
        <v>89.1412252033968</v>
      </c>
      <c r="P20" s="29">
        <f t="shared" ca="1" si="13"/>
        <v>98.85781492087655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2800505</v>
      </c>
      <c r="M22" s="41">
        <f t="shared" ca="1" si="18"/>
        <v>1495105</v>
      </c>
      <c r="N22" s="38">
        <f t="shared" ca="1" si="18"/>
        <v>1358318</v>
      </c>
      <c r="O22" s="38">
        <f t="shared" ca="1" si="17"/>
        <v>48.502609350813515</v>
      </c>
      <c r="P22" s="38">
        <f t="shared" ca="1" si="13"/>
        <v>90.851010464148004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1871100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929405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10480800</v>
      </c>
      <c r="M26" s="49">
        <f t="shared" ca="1" si="22"/>
        <v>10480800</v>
      </c>
      <c r="N26" s="49">
        <f t="shared" ca="1" si="22"/>
        <v>10480800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1863960</v>
      </c>
      <c r="M28" s="23">
        <f t="shared" si="23"/>
        <v>0</v>
      </c>
      <c r="N28" s="23">
        <f t="shared" ca="1" si="23"/>
        <v>557615.4</v>
      </c>
      <c r="O28" s="22">
        <f t="shared" ref="O28:O30" ca="1" si="24">IF(L28&gt;0,N28*100/L28,0)</f>
        <v>29.915631236721818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1863960</v>
      </c>
      <c r="M30" s="30">
        <f t="shared" si="27"/>
        <v>0</v>
      </c>
      <c r="N30" s="30">
        <f t="shared" ca="1" si="27"/>
        <v>557615.4</v>
      </c>
      <c r="O30" s="29">
        <f t="shared" ca="1" si="24"/>
        <v>29.915631236721818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1863960</v>
      </c>
      <c r="M32" s="38">
        <f t="shared" si="30"/>
        <v>0</v>
      </c>
      <c r="N32" s="38">
        <f t="shared" ca="1" si="30"/>
        <v>557615.4</v>
      </c>
      <c r="O32" s="38">
        <f t="shared" ca="1" si="29"/>
        <v>29.915631236721818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1863960</v>
      </c>
      <c r="M34" s="38">
        <f t="shared" si="32"/>
        <v>0</v>
      </c>
      <c r="N34" s="38">
        <f t="shared" ca="1" si="32"/>
        <v>557615.4</v>
      </c>
      <c r="O34" s="38">
        <f t="shared" ca="1" si="29"/>
        <v>29.915631236721818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13281305</v>
      </c>
      <c r="M37" s="54">
        <f t="shared" ca="1" si="33"/>
        <v>11975905</v>
      </c>
      <c r="N37" s="54">
        <f t="shared" ca="1" si="33"/>
        <v>11839118</v>
      </c>
      <c r="O37" s="55">
        <f t="shared" ca="1" si="29"/>
        <v>89.1412252033968</v>
      </c>
      <c r="P37" s="55">
        <f t="shared" ca="1" si="25"/>
        <v>98.85781492087655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7765700</v>
      </c>
      <c r="M41" s="78">
        <f t="shared" ca="1" si="34"/>
        <v>7460400</v>
      </c>
      <c r="N41" s="78">
        <f t="shared" ca="1" si="34"/>
        <v>7458293</v>
      </c>
      <c r="O41" s="77">
        <f t="shared" ref="O41:O43" ca="1" si="35">IF(L41&gt;0,N41*100/L41,0)</f>
        <v>96.04147726541072</v>
      </c>
      <c r="P41" s="77">
        <f t="shared" ref="P41:P43" ca="1" si="36">IF(M41&gt;0,N41*100/M41,0)</f>
        <v>99.971757546512251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7765700</v>
      </c>
      <c r="M43" s="78">
        <f t="shared" ca="1" si="38"/>
        <v>7460400</v>
      </c>
      <c r="N43" s="78">
        <f t="shared" ca="1" si="38"/>
        <v>7458293</v>
      </c>
      <c r="O43" s="77">
        <f t="shared" ca="1" si="35"/>
        <v>96.04147726541072</v>
      </c>
      <c r="P43" s="77">
        <f t="shared" ca="1" si="36"/>
        <v>99.971757546512251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610700</v>
      </c>
      <c r="M45" s="49">
        <f ca="1">IFERROR(__xludf.DUMMYFUNCTION("IMPORTRANGE(""https://docs.google.com/spreadsheets/d/1Yj_ptqi66GCucihVvJfMjLAmec39IyEx_6qawtMGysU/edit?usp=sharing"",""สบก!Q30"")"),305400)</f>
        <v>305400</v>
      </c>
      <c r="N45" s="49">
        <f ca="1">IFERROR(__xludf.DUMMYFUNCTION("IMPORTRANGE(""https://docs.google.com/spreadsheets/d/1Yj_ptqi66GCucihVvJfMjLAmec39IyEx_6qawtMGysU/edit?usp=sharing"",""สบก!R30"")"),303293)</f>
        <v>303293</v>
      </c>
      <c r="O45" s="38">
        <f ca="1">IF(L45&gt;0,N45*100/L45,0)</f>
        <v>49.66317340756509</v>
      </c>
      <c r="P45" s="38">
        <f ca="1">IF(M45&gt;0,N45*100/M45,0)</f>
        <v>99.310085134250158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IFERROR(__xludf.DUMMYFUNCTION("IMPORTRANGE(""https://docs.google.com/spreadsheets/d/1Yj_ptqi66GCucihVvJfMjLAmec39IyEx_6qawtMGysU/edit?usp=sharing"",""สบก!M30"")"),610700)</f>
        <v>610700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IFERROR(__xludf.DUMMYFUNCTION("IMPORTRANGE(""https://docs.google.com/spreadsheets/d/1Yj_ptqi66GCucihVvJfMjLAmec39IyEx_6qawtMGysU/edit?usp=sharing"",""สบก!N30"")"),0)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IFERROR(__xludf.DUMMYFUNCTION("IMPORTRANGE(""https://docs.google.com/spreadsheets/d/1Yj_ptqi66GCucihVvJfMjLAmec39IyEx_6qawtMGysU/edit?usp=sharing"",""สบก!O30"")"),7155000)</f>
        <v>7155000</v>
      </c>
      <c r="M49" s="49">
        <f ca="1">L49</f>
        <v>7155000</v>
      </c>
      <c r="N49" s="49">
        <f ca="1">IFERROR(__xludf.DUMMYFUNCTION("IMPORTRANGE(""https://docs.google.com/spreadsheets/d/1Yj_ptqi66GCucihVvJfMjLAmec39IyEx_6qawtMGysU/edit?usp=sharing"",""สบก!S30"")"),7155000)</f>
        <v>7155000</v>
      </c>
      <c r="O49" s="49">
        <f ca="1">IF(L49&gt;0,N49*100/L49,0)</f>
        <v>100</v>
      </c>
      <c r="P49" s="51">
        <f ca="1">IF(M49&gt;0,N49*100/M49,0)</f>
        <v>100</v>
      </c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637200</v>
      </c>
      <c r="M53" s="120">
        <f t="shared" ca="1" si="39"/>
        <v>318600</v>
      </c>
      <c r="N53" s="120">
        <f t="shared" ca="1" si="39"/>
        <v>300700</v>
      </c>
      <c r="O53" s="119">
        <f t="shared" ref="O53:O55" ca="1" si="40">IF(L53&gt;0,N53*100/L53,0)</f>
        <v>47.190834902699308</v>
      </c>
      <c r="P53" s="119">
        <f t="shared" ref="P53:P55" ca="1" si="41">IF(M53&gt;0,N53*100/M53,0)</f>
        <v>94.381669805398616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637200</v>
      </c>
      <c r="M55" s="120">
        <f t="shared" ca="1" si="43"/>
        <v>318600</v>
      </c>
      <c r="N55" s="120">
        <f t="shared" ca="1" si="43"/>
        <v>300700</v>
      </c>
      <c r="O55" s="119">
        <f t="shared" ca="1" si="40"/>
        <v>47.190834902699308</v>
      </c>
      <c r="P55" s="119">
        <f t="shared" ca="1" si="41"/>
        <v>94.381669805398616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637200</v>
      </c>
      <c r="M57" s="49">
        <f ca="1">IFERROR(__xludf.DUMMYFUNCTION("IMPORTRANGE(""https://docs.google.com/spreadsheets/d/1Yj_ptqi66GCucihVvJfMjLAmec39IyEx_6qawtMGysU/edit?usp=sharing"",""สบก!Z30"")"),318600)</f>
        <v>318600</v>
      </c>
      <c r="N57" s="49">
        <f ca="1">IFERROR(__xludf.DUMMYFUNCTION("IMPORTRANGE(""https://docs.google.com/spreadsheets/d/1Yj_ptqi66GCucihVvJfMjLAmec39IyEx_6qawtMGysU/edit?usp=sharing"",""สบก!AA30"")"),300700)</f>
        <v>300700</v>
      </c>
      <c r="O57" s="38">
        <f ca="1">IF(L57&gt;0,N57*100/L57,0)</f>
        <v>47.190834902699308</v>
      </c>
      <c r="P57" s="38">
        <f ca="1">IF(M57&gt;0,N57*100/M57,0)</f>
        <v>94.381669805398616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IFERROR(__xludf.DUMMYFUNCTION("IMPORTRANGE(""https://docs.google.com/spreadsheets/d/1Yj_ptqi66GCucihVvJfMjLAmec39IyEx_6qawtMGysU/edit?usp=sharing"",""สบก!V30"")"),637200)</f>
        <v>637200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IFERROR(__xludf.DUMMYFUNCTION("IMPORTRANGE(""https://docs.google.com/spreadsheets/d/1Yj_ptqi66GCucihVvJfMjLAmec39IyEx_6qawtMGysU/edit?usp=sharing"",""สบก!W30"")"),0)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IFERROR(__xludf.DUMMYFUNCTION("IMPORTRANGE(""https://docs.google.com/spreadsheets/d/1Yj_ptqi66GCucihVvJfMjLAmec39IyEx_6qawtMGysU/edit?usp=sharing"",""สบก!X30"")"),0)</f>
        <v>0</v>
      </c>
      <c r="M61" s="49"/>
      <c r="N61" s="49">
        <f ca="1">IFERROR(__xludf.DUMMYFUNCTION("IMPORTRANGE(""https://docs.google.com/spreadsheets/d/1Yj_ptqi66GCucihVvJfMjLAmec39IyEx_6qawtMGysU/edit?usp=sharing"",""สบก!AB30"")"),0)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IFERROR(__xludf.DUMMYFUNCTION("IMPORTRANGE(""https://docs.google.com/spreadsheets/d/11923uPwbBZFjjGgGUA6NLw09EwE0CqkOc4q9oUmW1yo/edit?usp=sharing"",""แพร่!I9"")"),0)</f>
        <v>0</v>
      </c>
      <c r="J64" s="141">
        <f ca="1">IFERROR(__xludf.DUMMYFUNCTION("IMPORTRANGE(""https://docs.google.com/spreadsheets/d/11923uPwbBZFjjGgGUA6NLw09EwE0CqkOc4q9oUmW1yo/edit?usp=sharing"",""แพร่!J9"")"),0)</f>
        <v>0</v>
      </c>
      <c r="K64" s="142">
        <f t="shared" ref="K64:K65" ca="1" si="44">IF(I64&gt;0,J64*100/I64,0)</f>
        <v>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IFERROR(__xludf.DUMMYFUNCTION("IMPORTRANGE(""https://docs.google.com/spreadsheets/d/11923uPwbBZFjjGgGUA6NLw09EwE0CqkOc4q9oUmW1yo/edit?usp=sharing"",""แพร่!I10"")"),0)</f>
        <v>0</v>
      </c>
      <c r="J65" s="141">
        <f ca="1">IFERROR(__xludf.DUMMYFUNCTION("IMPORTRANGE(""https://docs.google.com/spreadsheets/d/11923uPwbBZFjjGgGUA6NLw09EwE0CqkOc4q9oUmW1yo/edit?usp=sharing"",""แพร่!J10"")"),0)</f>
        <v>0</v>
      </c>
      <c r="K65" s="142">
        <f t="shared" ca="1" si="44"/>
        <v>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3131000</v>
      </c>
      <c r="M66" s="151">
        <f t="shared" ca="1" si="45"/>
        <v>3131000</v>
      </c>
      <c r="N66" s="151">
        <f t="shared" ca="1" si="45"/>
        <v>3131000</v>
      </c>
      <c r="O66" s="150">
        <f t="shared" ref="O66:O68" ca="1" si="46">IF(L66&gt;0,N66*100/L66,0)</f>
        <v>100</v>
      </c>
      <c r="P66" s="150">
        <f t="shared" ref="P66:P68" ca="1" si="47">IF(M66&gt;0,N66*100/M66,0)</f>
        <v>100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3131000</v>
      </c>
      <c r="M68" s="87">
        <f t="shared" ca="1" si="49"/>
        <v>3131000</v>
      </c>
      <c r="N68" s="87">
        <f t="shared" ca="1" si="49"/>
        <v>3131000</v>
      </c>
      <c r="O68" s="155">
        <f t="shared" ca="1" si="46"/>
        <v>100</v>
      </c>
      <c r="P68" s="155">
        <f t="shared" ca="1" si="47"/>
        <v>100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IFERROR(__xludf.DUMMYFUNCTION("IMPORTRANGE(""https://docs.google.com/spreadsheets/d/1Yj_ptqi66GCucihVvJfMjLAmec39IyEx_6qawtMGysU/edit?usp=sharing"",""สบก!AI30"")"),0)</f>
        <v>0</v>
      </c>
      <c r="N70" s="168">
        <f ca="1">IFERROR(__xludf.DUMMYFUNCTION("IMPORTRANGE(""https://docs.google.com/spreadsheets/d/1Yj_ptqi66GCucihVvJfMjLAmec39IyEx_6qawtMGysU/edit?usp=sharing"",""สบก!AJ30"")"),0)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IFERROR(__xludf.DUMMYFUNCTION("IMPORTRANGE(""https://docs.google.com/spreadsheets/d/1Yj_ptqi66GCucihVvJfMjLAmec39IyEx_6qawtMGysU/edit?usp=sharing"",""สบก!AE30"")"),0)</f>
        <v>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IFERROR(__xludf.DUMMYFUNCTION("IMPORTRANGE(""https://docs.google.com/spreadsheets/d/1Yj_ptqi66GCucihVvJfMjLAmec39IyEx_6qawtMGysU/edit?usp=sharing"",""สบก!AF30"")"),0)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IFERROR(__xludf.DUMMYFUNCTION("IMPORTRANGE(""https://docs.google.com/spreadsheets/d/1Yj_ptqi66GCucihVvJfMjLAmec39IyEx_6qawtMGysU/edit?usp=sharing"",""สบก!AG30"")"),3131000)</f>
        <v>3131000</v>
      </c>
      <c r="M74" s="49">
        <f ca="1">L74</f>
        <v>3131000</v>
      </c>
      <c r="N74" s="49">
        <f ca="1">IFERROR(__xludf.DUMMYFUNCTION("IMPORTRANGE(""https://docs.google.com/spreadsheets/d/1Yj_ptqi66GCucihVvJfMjLAmec39IyEx_6qawtMGysU/edit?usp=sharing"",""สบก!AK30"")"),3131000)</f>
        <v>3131000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IFERROR(__xludf.DUMMYFUNCTION("IMPORTRANGE(""https://docs.google.com/spreadsheets/d/11923uPwbBZFjjGgGUA6NLw09EwE0CqkOc4q9oUmW1yo/edit?usp=sharing"",""แพร่!J16"")"),0)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IFERROR(__xludf.DUMMYFUNCTION("IMPORTRANGE(""https://docs.google.com/spreadsheets/d/11923uPwbBZFjjGgGUA6NLw09EwE0CqkOc4q9oUmW1yo/edit?usp=sharing"",""แพร่!J17"")"),0)</f>
        <v>0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IFERROR(__xludf.DUMMYFUNCTION("IMPORTRANGE(""https://docs.google.com/spreadsheets/d/11923uPwbBZFjjGgGUA6NLw09EwE0CqkOc4q9oUmW1yo/edit?usp=sharing"",""แพร่!J18"")"),0)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IFERROR(__xludf.DUMMYFUNCTION("IMPORTRANGE(""https://docs.google.com/spreadsheets/d/11923uPwbBZFjjGgGUA6NLw09EwE0CqkOc4q9oUmW1yo/edit?usp=sharing"",""แพร่!J19"")"),0)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IFERROR(__xludf.DUMMYFUNCTION("IMPORTRANGE(""https://docs.google.com/spreadsheets/d/11923uPwbBZFjjGgGUA6NLw09EwE0CqkOc4q9oUmW1yo/edit?usp=sharing"",""แพร่!I20"")"),0)</f>
        <v>0</v>
      </c>
      <c r="J80" s="200">
        <f ca="1">IFERROR(__xludf.DUMMYFUNCTION("IMPORTRANGE(""https://docs.google.com/spreadsheets/d/11923uPwbBZFjjGgGUA6NLw09EwE0CqkOc4q9oUmW1yo/edit?usp=sharing"",""แพร่!J20"")"),0)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IFERROR(__xludf.DUMMYFUNCTION("IMPORTRANGE(""https://docs.google.com/spreadsheets/d/11923uPwbBZFjjGgGUA6NLw09EwE0CqkOc4q9oUmW1yo/edit?usp=sharing"",""แพร่!I21"")"),0)</f>
        <v>0</v>
      </c>
      <c r="J81" s="200">
        <f ca="1">IFERROR(__xludf.DUMMYFUNCTION("IMPORTRANGE(""https://docs.google.com/spreadsheets/d/11923uPwbBZFjjGgGUA6NLw09EwE0CqkOc4q9oUmW1yo/edit?usp=sharing"",""แพร่!J21"")"),0)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IFERROR(__xludf.DUMMYFUNCTION("IMPORTRANGE(""https://docs.google.com/spreadsheets/d/11923uPwbBZFjjGgGUA6NLw09EwE0CqkOc4q9oUmW1yo/edit?usp=sharing"",""แพร่!I22"")"),0)</f>
        <v>0</v>
      </c>
      <c r="J82" s="203">
        <f ca="1">IFERROR(__xludf.DUMMYFUNCTION("IMPORTRANGE(""https://docs.google.com/spreadsheets/d/11923uPwbBZFjjGgGUA6NLw09EwE0CqkOc4q9oUmW1yo/edit?usp=sharing"",""แพร่!J22"")"),0)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IFERROR(__xludf.DUMMYFUNCTION("IMPORTRANGE(""https://docs.google.com/spreadsheets/d/11923uPwbBZFjjGgGUA6NLw09EwE0CqkOc4q9oUmW1yo/edit?usp=sharing"",""แพร่!I23"")"),0)</f>
        <v>0</v>
      </c>
      <c r="J83" s="203">
        <f ca="1">IFERROR(__xludf.DUMMYFUNCTION("IMPORTRANGE(""https://docs.google.com/spreadsheets/d/11923uPwbBZFjjGgGUA6NLw09EwE0CqkOc4q9oUmW1yo/edit?usp=sharing"",""แพร่!J23"")"),0)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IFERROR(__xludf.DUMMYFUNCTION("IMPORTRANGE(""https://docs.google.com/spreadsheets/d/11923uPwbBZFjjGgGUA6NLw09EwE0CqkOc4q9oUmW1yo/edit?usp=sharing"",""แพร่!I24"")"),0)</f>
        <v>0</v>
      </c>
      <c r="J84" s="188">
        <f ca="1">IFERROR(__xludf.DUMMYFUNCTION("IMPORTRANGE(""https://docs.google.com/spreadsheets/d/11923uPwbBZFjjGgGUA6NLw09EwE0CqkOc4q9oUmW1yo/edit?usp=sharing"",""แพร่!J24"")"),0)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IFERROR(__xludf.DUMMYFUNCTION("IMPORTRANGE(""https://docs.google.com/spreadsheets/d/11923uPwbBZFjjGgGUA6NLw09EwE0CqkOc4q9oUmW1yo/edit?usp=sharing"",""แพร่!I25"")"),0)</f>
        <v>0</v>
      </c>
      <c r="J85" s="188">
        <f ca="1">IFERROR(__xludf.DUMMYFUNCTION("IMPORTRANGE(""https://docs.google.com/spreadsheets/d/11923uPwbBZFjjGgGUA6NLw09EwE0CqkOc4q9oUmW1yo/edit?usp=sharing"",""แพร่!J25"")"),0)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IFERROR(__xludf.DUMMYFUNCTION("IMPORTRANGE(""https://docs.google.com/spreadsheets/d/11923uPwbBZFjjGgGUA6NLw09EwE0CqkOc4q9oUmW1yo/edit?usp=sharing"",""แพร่!I26"")"),0)</f>
        <v>0</v>
      </c>
      <c r="J86" s="203">
        <f ca="1">IFERROR(__xludf.DUMMYFUNCTION("IMPORTRANGE(""https://docs.google.com/spreadsheets/d/11923uPwbBZFjjGgGUA6NLw09EwE0CqkOc4q9oUmW1yo/edit?usp=sharing"",""แพร่!J26"")"),0)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IFERROR(__xludf.DUMMYFUNCTION("IMPORTRANGE(""https://docs.google.com/spreadsheets/d/11923uPwbBZFjjGgGUA6NLw09EwE0CqkOc4q9oUmW1yo/edit?usp=sharing"",""แพร่!I27"")"),0)</f>
        <v>0</v>
      </c>
      <c r="J87" s="203">
        <f ca="1">IFERROR(__xludf.DUMMYFUNCTION("IMPORTRANGE(""https://docs.google.com/spreadsheets/d/11923uPwbBZFjjGgGUA6NLw09EwE0CqkOc4q9oUmW1yo/edit?usp=sharing"",""แพร่!J27"")"),0)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IFERROR(__xludf.DUMMYFUNCTION("IMPORTRANGE(""https://docs.google.com/spreadsheets/d/11923uPwbBZFjjGgGUA6NLw09EwE0CqkOc4q9oUmW1yo/edit?usp=sharing"",""แพร่!I28"")"),0)</f>
        <v>0</v>
      </c>
      <c r="J88" s="203">
        <f ca="1">IFERROR(__xludf.DUMMYFUNCTION("IMPORTRANGE(""https://docs.google.com/spreadsheets/d/11923uPwbBZFjjGgGUA6NLw09EwE0CqkOc4q9oUmW1yo/edit?usp=sharing"",""แพร่!J28"")"),0)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IFERROR(__xludf.DUMMYFUNCTION("IMPORTRANGE(""https://docs.google.com/spreadsheets/d/11923uPwbBZFjjGgGUA6NLw09EwE0CqkOc4q9oUmW1yo/edit?usp=sharing"",""แพร่!J29"")"),0)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IFERROR(__xludf.DUMMYFUNCTION("IMPORTRANGE(""https://docs.google.com/spreadsheets/d/11923uPwbBZFjjGgGUA6NLw09EwE0CqkOc4q9oUmW1yo/edit?usp=sharing"",""แพร่!J30"")"),0)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IFERROR(__xludf.DUMMYFUNCTION("IMPORTRANGE(""https://docs.google.com/spreadsheets/d/11923uPwbBZFjjGgGUA6NLw09EwE0CqkOc4q9oUmW1yo/edit?usp=sharing"",""แพร่!I32"")"),7)</f>
        <v>7</v>
      </c>
      <c r="J92" s="141">
        <f ca="1">IFERROR(__xludf.DUMMYFUNCTION("IMPORTRANGE(""https://docs.google.com/spreadsheets/d/11923uPwbBZFjjGgGUA6NLw09EwE0CqkOc4q9oUmW1yo/edit?usp=sharing"",""แพร่!J32"")"),0)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IFERROR(__xludf.DUMMYFUNCTION("IMPORTRANGE(""https://docs.google.com/spreadsheets/d/11923uPwbBZFjjGgGUA6NLw09EwE0CqkOc4q9oUmW1yo/edit?usp=sharing"",""แพร่!I33"")"),2)</f>
        <v>2</v>
      </c>
      <c r="J93" s="141">
        <f ca="1">IFERROR(__xludf.DUMMYFUNCTION("IMPORTRANGE(""https://docs.google.com/spreadsheets/d/11923uPwbBZFjjGgGUA6NLw09EwE0CqkOc4q9oUmW1yo/edit?usp=sharing"",""แพร่!J33"")"),2)</f>
        <v>2</v>
      </c>
      <c r="K93" s="142">
        <f t="shared" ca="1" si="51"/>
        <v>100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318960</v>
      </c>
      <c r="M94" s="151">
        <f t="shared" ca="1" si="52"/>
        <v>265590</v>
      </c>
      <c r="N94" s="151">
        <f t="shared" ca="1" si="52"/>
        <v>242525</v>
      </c>
      <c r="O94" s="150">
        <f t="shared" ref="O94:O96" ca="1" si="53">IF(L94&gt;0,N94*100/L94,0)</f>
        <v>76.036180085277152</v>
      </c>
      <c r="P94" s="150">
        <f t="shared" ref="P94:P96" ca="1" si="54">IF(M94&gt;0,N94*100/M94,0)</f>
        <v>91.315561579878761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318960</v>
      </c>
      <c r="M96" s="87">
        <f t="shared" ca="1" si="56"/>
        <v>265590</v>
      </c>
      <c r="N96" s="87">
        <f t="shared" ca="1" si="56"/>
        <v>242525</v>
      </c>
      <c r="O96" s="155">
        <f t="shared" ca="1" si="53"/>
        <v>76.036180085277152</v>
      </c>
      <c r="P96" s="155">
        <f t="shared" ca="1" si="54"/>
        <v>91.315561579878761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IFERROR(__xludf.DUMMYFUNCTION("IMPORTRANGE(""https://docs.google.com/spreadsheets/d/1Yj_ptqi66GCucihVvJfMjLAmec39IyEx_6qawtMGysU/edit?usp=sharing"",""สบก!AR30"")"),80790)</f>
        <v>80790</v>
      </c>
      <c r="N98" s="168">
        <f ca="1">IFERROR(__xludf.DUMMYFUNCTION("IMPORTRANGE(""https://docs.google.com/spreadsheets/d/1Yj_ptqi66GCucihVvJfMjLAmec39IyEx_6qawtMGysU/edit?usp=sharing"",""สบก!AS30"")"),57725)</f>
        <v>57725</v>
      </c>
      <c r="O98" s="168">
        <f ca="1">IF(L98&gt;0,N98*100/L98,0)</f>
        <v>43.026982707215268</v>
      </c>
      <c r="P98" s="168">
        <f ca="1">IF(M98&gt;0,N98*100/M98,0)</f>
        <v>71.450674588439156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IFERROR(__xludf.DUMMYFUNCTION("IMPORTRANGE(""https://docs.google.com/spreadsheets/d/1Yj_ptqi66GCucihVvJfMjLAmec39IyEx_6qawtMGysU/edit?usp=sharing"",""สบก!AN30"")"),0)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IFERROR(__xludf.DUMMYFUNCTION("IMPORTRANGE(""https://docs.google.com/spreadsheets/d/1Yj_ptqi66GCucihVvJfMjLAmec39IyEx_6qawtMGysU/edit?usp=sharing"",""สบก!AO30"")"),134160)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IFERROR(__xludf.DUMMYFUNCTION("IMPORTRANGE(""https://docs.google.com/spreadsheets/d/1Yj_ptqi66GCucihVvJfMjLAmec39IyEx_6qawtMGysU/edit?usp=sharing"",""สบก!AP30"")"),184800)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IFERROR(__xludf.DUMMYFUNCTION("IMPORTRANGE(""https://docs.google.com/spreadsheets/d/1Yj_ptqi66GCucihVvJfMjLAmec39IyEx_6qawtMGysU/edit?usp=sharing"",""สบก!AT30"")"),184800)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IFERROR(__xludf.DUMMYFUNCTION("IMPORTRANGE(""https://docs.google.com/spreadsheets/d/11923uPwbBZFjjGgGUA6NLw09EwE0CqkOc4q9oUmW1yo/edit?usp=sharing"",""แพร่!J39"")"),0)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IFERROR(__xludf.DUMMYFUNCTION("IMPORTRANGE(""https://docs.google.com/spreadsheets/d/11923uPwbBZFjjGgGUA6NLw09EwE0CqkOc4q9oUmW1yo/edit?usp=sharing"",""แพร่!J40"")"),1)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IFERROR(__xludf.DUMMYFUNCTION("IMPORTRANGE(""https://docs.google.com/spreadsheets/d/11923uPwbBZFjjGgGUA6NLw09EwE0CqkOc4q9oUmW1yo/edit?usp=sharing"",""แพร่!J41"")"),1)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IFERROR(__xludf.DUMMYFUNCTION("IMPORTRANGE(""https://docs.google.com/spreadsheets/d/11923uPwbBZFjjGgGUA6NLw09EwE0CqkOc4q9oUmW1yo/edit?usp=sharing"",""แพร่!J42"")"),1)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IFERROR(__xludf.DUMMYFUNCTION("IMPORTRANGE(""https://docs.google.com/spreadsheets/d/11923uPwbBZFjjGgGUA6NLw09EwE0CqkOc4q9oUmW1yo/edit?usp=sharing"",""แพร่!I43"")"),1)</f>
        <v>1</v>
      </c>
      <c r="J108" s="203">
        <f ca="1">IFERROR(__xludf.DUMMYFUNCTION("IMPORTRANGE(""https://docs.google.com/spreadsheets/d/11923uPwbBZFjjGgGUA6NLw09EwE0CqkOc4q9oUmW1yo/edit?usp=sharing"",""แพร่!J43"")"),1)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IFERROR(__xludf.DUMMYFUNCTION("IMPORTRANGE(""https://docs.google.com/spreadsheets/d/11923uPwbBZFjjGgGUA6NLw09EwE0CqkOc4q9oUmW1yo/edit?usp=sharing"",""แพร่!I44"")"),7)</f>
        <v>7</v>
      </c>
      <c r="J109" s="203">
        <f ca="1">IFERROR(__xludf.DUMMYFUNCTION("IMPORTRANGE(""https://docs.google.com/spreadsheets/d/11923uPwbBZFjjGgGUA6NLw09EwE0CqkOc4q9oUmW1yo/edit?usp=sharing"",""แพร่!J44"")"),0)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IFERROR(__xludf.DUMMYFUNCTION("IMPORTRANGE(""https://docs.google.com/spreadsheets/d/11923uPwbBZFjjGgGUA6NLw09EwE0CqkOc4q9oUmW1yo/edit?usp=sharing"",""แพร่!I45"")"),7)</f>
        <v>7</v>
      </c>
      <c r="J110" s="203">
        <f ca="1">IFERROR(__xludf.DUMMYFUNCTION("IMPORTRANGE(""https://docs.google.com/spreadsheets/d/11923uPwbBZFjjGgGUA6NLw09EwE0CqkOc4q9oUmW1yo/edit?usp=sharing"",""แพร่!J45"")"),7)</f>
        <v>7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IFERROR(__xludf.DUMMYFUNCTION("IMPORTRANGE(""https://docs.google.com/spreadsheets/d/11923uPwbBZFjjGgGUA6NLw09EwE0CqkOc4q9oUmW1yo/edit?usp=sharing"",""แพร่!I46"")"),7)</f>
        <v>7</v>
      </c>
      <c r="J111" s="203">
        <f ca="1">IFERROR(__xludf.DUMMYFUNCTION("IMPORTRANGE(""https://docs.google.com/spreadsheets/d/11923uPwbBZFjjGgGUA6NLw09EwE0CqkOc4q9oUmW1yo/edit?usp=sharing"",""แพร่!J46"")"),0)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IFERROR(__xludf.DUMMYFUNCTION("IMPORTRANGE(""https://docs.google.com/spreadsheets/d/11923uPwbBZFjjGgGUA6NLw09EwE0CqkOc4q9oUmW1yo/edit?usp=sharing"",""แพร่!I47"")"),7)</f>
        <v>7</v>
      </c>
      <c r="J112" s="203">
        <f ca="1">IFERROR(__xludf.DUMMYFUNCTION("IMPORTRANGE(""https://docs.google.com/spreadsheets/d/11923uPwbBZFjjGgGUA6NLw09EwE0CqkOc4q9oUmW1yo/edit?usp=sharing"",""แพร่!J47"")"),0)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IFERROR(__xludf.DUMMYFUNCTION("IMPORTRANGE(""https://docs.google.com/spreadsheets/d/11923uPwbBZFjjGgGUA6NLw09EwE0CqkOc4q9oUmW1yo/edit?usp=sharing"",""แพร่!I48"")"),2)</f>
        <v>2</v>
      </c>
      <c r="J113" s="203">
        <f ca="1">IFERROR(__xludf.DUMMYFUNCTION("IMPORTRANGE(""https://docs.google.com/spreadsheets/d/11923uPwbBZFjjGgGUA6NLw09EwE0CqkOc4q9oUmW1yo/edit?usp=sharing"",""แพร่!J48"")"),2)</f>
        <v>2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IFERROR(__xludf.DUMMYFUNCTION("IMPORTRANGE(""https://docs.google.com/spreadsheets/d/11923uPwbBZFjjGgGUA6NLw09EwE0CqkOc4q9oUmW1yo/edit?usp=sharing"",""แพร่!J49"")"),0)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IFERROR(__xludf.DUMMYFUNCTION("IMPORTRANGE(""https://docs.google.com/spreadsheets/d/11923uPwbBZFjjGgGUA6NLw09EwE0CqkOc4q9oUmW1yo/edit?usp=sharing"",""แพร่!J50"")"),0)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IFERROR(__xludf.DUMMYFUNCTION("IMPORTRANGE(""https://docs.google.com/spreadsheets/d/11923uPwbBZFjjGgGUA6NLw09EwE0CqkOc4q9oUmW1yo/edit?usp=sharing"",""แพร่!I52"")"),20)</f>
        <v>20</v>
      </c>
      <c r="J117" s="141">
        <f ca="1">IFERROR(__xludf.DUMMYFUNCTION("IMPORTRANGE(""https://docs.google.com/spreadsheets/d/11923uPwbBZFjjGgGUA6NLw09EwE0CqkOc4q9oUmW1yo/edit?usp=sharing"",""แพร่!J52"")"),30)</f>
        <v>30</v>
      </c>
      <c r="K117" s="142">
        <f ca="1">IF(I117&gt;0,J117*100/I117,0)</f>
        <v>150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66440</v>
      </c>
      <c r="O118" s="150">
        <f t="shared" ref="O118:O120" ca="1" si="59">IF(L118&gt;0,N118*100/L118,0)</f>
        <v>80.591945657447837</v>
      </c>
      <c r="P118" s="150">
        <f t="shared" ref="P118:P120" ca="1" si="60">IF(M118&gt;0,N118*100/M118,0)</f>
        <v>100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66440</v>
      </c>
      <c r="O120" s="155">
        <f t="shared" ca="1" si="59"/>
        <v>80.591945657447837</v>
      </c>
      <c r="P120" s="155">
        <f t="shared" ca="1" si="60"/>
        <v>100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IFERROR(__xludf.DUMMYFUNCTION("IMPORTRANGE(""https://docs.google.com/spreadsheets/d/1Yj_ptqi66GCucihVvJfMjLAmec39IyEx_6qawtMGysU/edit?usp=sharing"",""สบก!BA30"")"),66440)</f>
        <v>66440</v>
      </c>
      <c r="N122" s="168">
        <f ca="1">IFERROR(__xludf.DUMMYFUNCTION("IMPORTRANGE(""https://docs.google.com/spreadsheets/d/1Yj_ptqi66GCucihVvJfMjLAmec39IyEx_6qawtMGysU/edit?usp=sharing"",""สบก!BB30"")"),66440)</f>
        <v>66440</v>
      </c>
      <c r="O122" s="168">
        <f ca="1">IF(L122&gt;0,N122*100/L122,0)</f>
        <v>80.591945657447837</v>
      </c>
      <c r="P122" s="168">
        <f ca="1">IF(M122&gt;0,N122*100/M122,0)</f>
        <v>100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IFERROR(__xludf.DUMMYFUNCTION("IMPORTRANGE(""https://docs.google.com/spreadsheets/d/1Yj_ptqi66GCucihVvJfMjLAmec39IyEx_6qawtMGysU/edit?usp=sharing"",""สบก!AW30"")"),0)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IFERROR(__xludf.DUMMYFUNCTION("IMPORTRANGE(""https://docs.google.com/spreadsheets/d/1Yj_ptqi66GCucihVvJfMjLAmec39IyEx_6qawtMGysU/edit?usp=sharing"",""สบก!AX30"")"),82440)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IFERROR(__xludf.DUMMYFUNCTION("IMPORTRANGE(""https://docs.google.com/spreadsheets/d/1Yj_ptqi66GCucihVvJfMjLAmec39IyEx_6qawtMGysU/edit?usp=sharing"",""สบก!AY30"")"),0)</f>
        <v>0</v>
      </c>
      <c r="M126" s="49"/>
      <c r="N126" s="49">
        <f ca="1">IFERROR(__xludf.DUMMYFUNCTION("IMPORTRANGE(""https://docs.google.com/spreadsheets/d/1Yj_ptqi66GCucihVvJfMjLAmec39IyEx_6qawtMGysU/edit?usp=sharing"",""สบก!BC30"")"),0)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259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IFERROR(__xludf.DUMMYFUNCTION("IMPORTRANGE(""https://docs.google.com/spreadsheets/d/11923uPwbBZFjjGgGUA6NLw09EwE0CqkOc4q9oUmW1yo/edit?usp=sharing"",""แพร่!J58"")"),0)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IFERROR(__xludf.DUMMYFUNCTION("IMPORTRANGE(""https://docs.google.com/spreadsheets/d/11923uPwbBZFjjGgGUA6NLw09EwE0CqkOc4q9oUmW1yo/edit?usp=sharing"",""แพร่!J59"")"),1)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IFERROR(__xludf.DUMMYFUNCTION("IMPORTRANGE(""https://docs.google.com/spreadsheets/d/11923uPwbBZFjjGgGUA6NLw09EwE0CqkOc4q9oUmW1yo/edit?usp=sharing"",""แพร่!J60"")"),1)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IFERROR(__xludf.DUMMYFUNCTION("IMPORTRANGE(""https://docs.google.com/spreadsheets/d/11923uPwbBZFjjGgGUA6NLw09EwE0CqkOc4q9oUmW1yo/edit?usp=sharing"",""แพร่!J61"")"),1)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IFERROR(__xludf.DUMMYFUNCTION("IMPORTRANGE(""https://docs.google.com/spreadsheets/d/11923uPwbBZFjjGgGUA6NLw09EwE0CqkOc4q9oUmW1yo/edit?usp=sharing"",""แพร่!I62"")"),20)</f>
        <v>20</v>
      </c>
      <c r="J132" s="203">
        <f ca="1">IFERROR(__xludf.DUMMYFUNCTION("IMPORTRANGE(""https://docs.google.com/spreadsheets/d/11923uPwbBZFjjGgGUA6NLw09EwE0CqkOc4q9oUmW1yo/edit?usp=sharing"",""แพร่!J62"")"),30)</f>
        <v>30</v>
      </c>
      <c r="K132" s="223">
        <f t="shared" ref="K132:K133" ca="1" si="63">IF(I132&gt;0,J132*100/I132,0)</f>
        <v>150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IFERROR(__xludf.DUMMYFUNCTION("IMPORTRANGE(""https://docs.google.com/spreadsheets/d/11923uPwbBZFjjGgGUA6NLw09EwE0CqkOc4q9oUmW1yo/edit?usp=sharing"",""แพร่!I63"")"),20)</f>
        <v>20</v>
      </c>
      <c r="J133" s="203">
        <f ca="1">IFERROR(__xludf.DUMMYFUNCTION("IMPORTRANGE(""https://docs.google.com/spreadsheets/d/11923uPwbBZFjjGgGUA6NLw09EwE0CqkOc4q9oUmW1yo/edit?usp=sharing"",""แพร่!J63"")"),0)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IFERROR(__xludf.DUMMYFUNCTION("IMPORTRANGE(""https://docs.google.com/spreadsheets/d/11923uPwbBZFjjGgGUA6NLw09EwE0CqkOc4q9oUmW1yo/edit?usp=sharing"",""แพร่!J64"")"),0)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IFERROR(__xludf.DUMMYFUNCTION("IMPORTRANGE(""https://docs.google.com/spreadsheets/d/11923uPwbBZFjjGgGUA6NLw09EwE0CqkOc4q9oUmW1yo/edit?usp=sharing"",""แพร่!J65"")"),0)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IFERROR(__xludf.DUMMYFUNCTION("IMPORTRANGE(""https://docs.google.com/spreadsheets/d/11923uPwbBZFjjGgGUA6NLw09EwE0CqkOc4q9oUmW1yo/edit?usp=sharing"",""แพร่!I68"")"),0)</f>
        <v>0</v>
      </c>
      <c r="J138" s="266">
        <f ca="1">IFERROR(__xludf.DUMMYFUNCTION("IMPORTRANGE(""https://docs.google.com/spreadsheets/d/11923uPwbBZFjjGgGUA6NLw09EwE0CqkOc4q9oUmW1yo/edit?usp=sharing"",""แพร่!J68"")"),0)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69000</v>
      </c>
      <c r="M140" s="151">
        <f t="shared" ca="1" si="64"/>
        <v>53750</v>
      </c>
      <c r="N140" s="151">
        <f t="shared" ca="1" si="64"/>
        <v>22280</v>
      </c>
      <c r="O140" s="150">
        <f t="shared" ref="O140:O142" ca="1" si="65">IF(L140&gt;0,N140*100/L140,0)</f>
        <v>32.289855072463766</v>
      </c>
      <c r="P140" s="150">
        <f t="shared" ref="P140:P142" ca="1" si="66">IF(M140&gt;0,N140*100/M140,0)</f>
        <v>41.451162790697673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69000</v>
      </c>
      <c r="M142" s="87">
        <f t="shared" ca="1" si="68"/>
        <v>53750</v>
      </c>
      <c r="N142" s="87">
        <f t="shared" ca="1" si="68"/>
        <v>22280</v>
      </c>
      <c r="O142" s="155">
        <f t="shared" ca="1" si="65"/>
        <v>32.289855072463766</v>
      </c>
      <c r="P142" s="155">
        <f t="shared" ca="1" si="66"/>
        <v>41.451162790697673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IFERROR(__xludf.DUMMYFUNCTION("IMPORTRANGE(""https://docs.google.com/spreadsheets/d/1Yj_ptqi66GCucihVvJfMjLAmec39IyEx_6qawtMGysU/edit?usp=sharing"",""สบก!BJ30"")"),53750)</f>
        <v>53750</v>
      </c>
      <c r="N144" s="168">
        <f ca="1">IFERROR(__xludf.DUMMYFUNCTION("IMPORTRANGE(""https://docs.google.com/spreadsheets/d/1Yj_ptqi66GCucihVvJfMjLAmec39IyEx_6qawtMGysU/edit?usp=sharing"",""สบก!BK30"")"),22280)</f>
        <v>22280</v>
      </c>
      <c r="O144" s="168">
        <f ca="1">IF(L144&gt;0,N144*100/L144,0)</f>
        <v>32.289855072463766</v>
      </c>
      <c r="P144" s="168">
        <f ca="1">IF(M144&gt;0,N144*100/M144,0)</f>
        <v>41.451162790697673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IFERROR(__xludf.DUMMYFUNCTION("IMPORTRANGE(""https://docs.google.com/spreadsheets/d/1Yj_ptqi66GCucihVvJfMjLAmec39IyEx_6qawtMGysU/edit?usp=sharing"",""สบก!BF30"")"),0)</f>
        <v>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IFERROR(__xludf.DUMMYFUNCTION("IMPORTRANGE(""https://docs.google.com/spreadsheets/d/1Yj_ptqi66GCucihVvJfMjLAmec39IyEx_6qawtMGysU/edit?usp=sharing"",""สบก!BG30"")"),69000)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IFERROR(__xludf.DUMMYFUNCTION("IMPORTRANGE(""https://docs.google.com/spreadsheets/d/1Yj_ptqi66GCucihVvJfMjLAmec39IyEx_6qawtMGysU/edit?usp=sharing"",""สบก!BH30"")"),0)</f>
        <v>0</v>
      </c>
      <c r="M148" s="49"/>
      <c r="N148" s="49">
        <f ca="1">IFERROR(__xludf.DUMMYFUNCTION("IMPORTRANGE(""https://docs.google.com/spreadsheets/d/1Yj_ptqi66GCucihVvJfMjLAmec39IyEx_6qawtMGysU/edit?usp=sharing"",""สบก!BL30"")"),0)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IFERROR(__xludf.DUMMYFUNCTION("IMPORTRANGE(""https://docs.google.com/spreadsheets/d/11923uPwbBZFjjGgGUA6NLw09EwE0CqkOc4q9oUmW1yo/edit?usp=sharing"",""แพร่!I74"")"),4)</f>
        <v>4</v>
      </c>
      <c r="J149" s="274">
        <f ca="1">IFERROR(__xludf.DUMMYFUNCTION("IMPORTRANGE(""https://docs.google.com/spreadsheets/d/11923uPwbBZFjjGgGUA6NLw09EwE0CqkOc4q9oUmW1yo/edit?usp=sharing"",""แพร่!J74"")"),2)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IFERROR(__xludf.DUMMYFUNCTION("IMPORTRANGE(""https://docs.google.com/spreadsheets/d/11923uPwbBZFjjGgGUA6NLw09EwE0CqkOc4q9oUmW1yo/edit?usp=sharing"",""แพร่!J79"")"),0)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IFERROR(__xludf.DUMMYFUNCTION("IMPORTRANGE(""https://docs.google.com/spreadsheets/d/11923uPwbBZFjjGgGUA6NLw09EwE0CqkOc4q9oUmW1yo/edit?usp=sharing"",""แพร่!J80"")"),1)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IFERROR(__xludf.DUMMYFUNCTION("IMPORTRANGE(""https://docs.google.com/spreadsheets/d/11923uPwbBZFjjGgGUA6NLw09EwE0CqkOc4q9oUmW1yo/edit?usp=sharing"",""แพร่!J81"")"),1)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IFERROR(__xludf.DUMMYFUNCTION("IMPORTRANGE(""https://docs.google.com/spreadsheets/d/11923uPwbBZFjjGgGUA6NLw09EwE0CqkOc4q9oUmW1yo/edit?usp=sharing"",""แพร่!J82"")"),1)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IFERROR(__xludf.DUMMYFUNCTION("IMPORTRANGE(""https://docs.google.com/spreadsheets/d/11923uPwbBZFjjGgGUA6NLw09EwE0CqkOc4q9oUmW1yo/edit?usp=sharing"",""แพร่!I83"")"),4)</f>
        <v>4</v>
      </c>
      <c r="J158" s="188">
        <f ca="1">IFERROR(__xludf.DUMMYFUNCTION("IMPORTRANGE(""https://docs.google.com/spreadsheets/d/11923uPwbBZFjjGgGUA6NLw09EwE0CqkOc4q9oUmW1yo/edit?usp=sharing"",""แพร่!J83"")"),2)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IFERROR(__xludf.DUMMYFUNCTION("IMPORTRANGE(""https://docs.google.com/spreadsheets/d/11923uPwbBZFjjGgGUA6NLw09EwE0CqkOc4q9oUmW1yo/edit?usp=sharing"",""แพร่!J84"")"),103)</f>
        <v>103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IFERROR(__xludf.DUMMYFUNCTION("IMPORTRANGE(""https://docs.google.com/spreadsheets/d/11923uPwbBZFjjGgGUA6NLw09EwE0CqkOc4q9oUmW1yo/edit?usp=sharing"",""แพร่!J85"")"),103)</f>
        <v>103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IFERROR(__xludf.DUMMYFUNCTION("IMPORTRANGE(""https://docs.google.com/spreadsheets/d/11923uPwbBZFjjGgGUA6NLw09EwE0CqkOc4q9oUmW1yo/edit?usp=sharing"",""แพร่!J86"")"),0)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IFERROR(__xludf.DUMMYFUNCTION("IMPORTRANGE(""https://docs.google.com/spreadsheets/d/11923uPwbBZFjjGgGUA6NLw09EwE0CqkOc4q9oUmW1yo/edit?usp=sharing"",""แพร่!J87"")"),0)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IFERROR(__xludf.DUMMYFUNCTION("IMPORTRANGE(""https://docs.google.com/spreadsheets/d/11923uPwbBZFjjGgGUA6NLw09EwE0CqkOc4q9oUmW1yo/edit?usp=sharing"",""แพร่!J88"")"),0)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IFERROR(__xludf.DUMMYFUNCTION("IMPORTRANGE(""https://docs.google.com/spreadsheets/d/11923uPwbBZFjjGgGUA6NLw09EwE0CqkOc4q9oUmW1yo/edit?usp=sharing"",""แพร่!I89"")"),3)</f>
        <v>3</v>
      </c>
      <c r="J164" s="282">
        <f ca="1">IFERROR(__xludf.DUMMYFUNCTION("IMPORTRANGE(""https://docs.google.com/spreadsheets/d/11923uPwbBZFjjGgGUA6NLw09EwE0CqkOc4q9oUmW1yo/edit?usp=sharing"",""แพร่!J89"")"),1)</f>
        <v>1</v>
      </c>
      <c r="K164" s="283">
        <f ca="1">IF(I164&gt;0,J164*100/I164,0)</f>
        <v>33.333333333333336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IFERROR(__xludf.DUMMYFUNCTION("IMPORTRANGE(""https://docs.google.com/spreadsheets/d/11923uPwbBZFjjGgGUA6NLw09EwE0CqkOc4q9oUmW1yo/edit?usp=sharing"",""แพร่!J94"")"),0)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IFERROR(__xludf.DUMMYFUNCTION("IMPORTRANGE(""https://docs.google.com/spreadsheets/d/11923uPwbBZFjjGgGUA6NLw09EwE0CqkOc4q9oUmW1yo/edit?usp=sharing"",""แพร่!J95"")"),1)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IFERROR(__xludf.DUMMYFUNCTION("IMPORTRANGE(""https://docs.google.com/spreadsheets/d/11923uPwbBZFjjGgGUA6NLw09EwE0CqkOc4q9oUmW1yo/edit?usp=sharing"",""แพร่!J96"")"),1)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IFERROR(__xludf.DUMMYFUNCTION("IMPORTRANGE(""https://docs.google.com/spreadsheets/d/11923uPwbBZFjjGgGUA6NLw09EwE0CqkOc4q9oUmW1yo/edit?usp=sharing"",""แพร่!J97"")"),1)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IFERROR(__xludf.DUMMYFUNCTION("IMPORTRANGE(""https://docs.google.com/spreadsheets/d/11923uPwbBZFjjGgGUA6NLw09EwE0CqkOc4q9oUmW1yo/edit?usp=sharing"",""แพร่!I98"")"),3)</f>
        <v>3</v>
      </c>
      <c r="J173" s="188">
        <f ca="1">IFERROR(__xludf.DUMMYFUNCTION("IMPORTRANGE(""https://docs.google.com/spreadsheets/d/11923uPwbBZFjjGgGUA6NLw09EwE0CqkOc4q9oUmW1yo/edit?usp=sharing"",""แพร่!J98"")"),1)</f>
        <v>1</v>
      </c>
      <c r="K173" s="163">
        <f ca="1">IF(I173&gt;0,J173*100/I173,0)</f>
        <v>33.333333333333336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IFERROR(__xludf.DUMMYFUNCTION("IMPORTRANGE(""https://docs.google.com/spreadsheets/d/11923uPwbBZFjjGgGUA6NLw09EwE0CqkOc4q9oUmW1yo/edit?usp=sharing"",""แพร่!J99"")"),0)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IFERROR(__xludf.DUMMYFUNCTION("IMPORTRANGE(""https://docs.google.com/spreadsheets/d/11923uPwbBZFjjGgGUA6NLw09EwE0CqkOc4q9oUmW1yo/edit?usp=sharing"",""แพร่!J100"")"),0)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IFERROR(__xludf.DUMMYFUNCTION("IMPORTRANGE(""https://docs.google.com/spreadsheets/d/11923uPwbBZFjjGgGUA6NLw09EwE0CqkOc4q9oUmW1yo/edit?usp=sharing"",""แพร่!I101"")"),0)</f>
        <v>0</v>
      </c>
      <c r="J176" s="282">
        <f ca="1">IFERROR(__xludf.DUMMYFUNCTION("IMPORTRANGE(""https://docs.google.com/spreadsheets/d/11923uPwbBZFjjGgGUA6NLw09EwE0CqkOc4q9oUmW1yo/edit?usp=sharing"",""แพร่!J101"")"),0)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IFERROR(__xludf.DUMMYFUNCTION("IMPORTRANGE(""https://docs.google.com/spreadsheets/d/11923uPwbBZFjjGgGUA6NLw09EwE0CqkOc4q9oUmW1yo/edit?usp=sharing"",""แพร่!J106"")"),0)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IFERROR(__xludf.DUMMYFUNCTION("IMPORTRANGE(""https://docs.google.com/spreadsheets/d/11923uPwbBZFjjGgGUA6NLw09EwE0CqkOc4q9oUmW1yo/edit?usp=sharing"",""แพร่!J107"")"),0)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IFERROR(__xludf.DUMMYFUNCTION("IMPORTRANGE(""https://docs.google.com/spreadsheets/d/11923uPwbBZFjjGgGUA6NLw09EwE0CqkOc4q9oUmW1yo/edit?usp=sharing"",""แพร่!J108"")"),0)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IFERROR(__xludf.DUMMYFUNCTION("IMPORTRANGE(""https://docs.google.com/spreadsheets/d/11923uPwbBZFjjGgGUA6NLw09EwE0CqkOc4q9oUmW1yo/edit?usp=sharing"",""แพร่!J109"")"),0)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IFERROR(__xludf.DUMMYFUNCTION("IMPORTRANGE(""https://docs.google.com/spreadsheets/d/11923uPwbBZFjjGgGUA6NLw09EwE0CqkOc4q9oUmW1yo/edit?usp=sharing"",""แพร่!I110"")"),0)</f>
        <v>0</v>
      </c>
      <c r="J185" s="203">
        <f ca="1">IFERROR(__xludf.DUMMYFUNCTION("IMPORTRANGE(""https://docs.google.com/spreadsheets/d/11923uPwbBZFjjGgGUA6NLw09EwE0CqkOc4q9oUmW1yo/edit?usp=sharing"",""แพร่!J110"")"),0)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IFERROR(__xludf.DUMMYFUNCTION("IMPORTRANGE(""https://docs.google.com/spreadsheets/d/11923uPwbBZFjjGgGUA6NLw09EwE0CqkOc4q9oUmW1yo/edit?usp=sharing"",""แพร่!I111"")"),0)</f>
        <v>0</v>
      </c>
      <c r="J186" s="203">
        <f ca="1">IFERROR(__xludf.DUMMYFUNCTION("IMPORTRANGE(""https://docs.google.com/spreadsheets/d/11923uPwbBZFjjGgGUA6NLw09EwE0CqkOc4q9oUmW1yo/edit?usp=sharing"",""แพร่!J111"")"),0)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IFERROR(__xludf.DUMMYFUNCTION("IMPORTRANGE(""https://docs.google.com/spreadsheets/d/11923uPwbBZFjjGgGUA6NLw09EwE0CqkOc4q9oUmW1yo/edit?usp=sharing"",""แพร่!J112"")"),0)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IFERROR(__xludf.DUMMYFUNCTION("IMPORTRANGE(""https://docs.google.com/spreadsheets/d/11923uPwbBZFjjGgGUA6NLw09EwE0CqkOc4q9oUmW1yo/edit?usp=sharing"",""แพร่!J113"")"),0)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IFERROR(__xludf.DUMMYFUNCTION("IMPORTRANGE(""https://docs.google.com/spreadsheets/d/11923uPwbBZFjjGgGUA6NLw09EwE0CqkOc4q9oUmW1yo/edit?usp=sharing"",""แพร่!I114"")"),50000)</f>
        <v>50000</v>
      </c>
      <c r="J189" s="282">
        <f ca="1">IFERROR(__xludf.DUMMYFUNCTION("IMPORTRANGE(""https://docs.google.com/spreadsheets/d/11923uPwbBZFjjGgGUA6NLw09EwE0CqkOc4q9oUmW1yo/edit?usp=sharing"",""แพร่!J114"")"),0)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IFERROR(__xludf.DUMMYFUNCTION("IMPORTRANGE(""https://docs.google.com/spreadsheets/d/11923uPwbBZFjjGgGUA6NLw09EwE0CqkOc4q9oUmW1yo/edit?usp=sharing"",""แพร่!J119"")"),1)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IFERROR(__xludf.DUMMYFUNCTION("IMPORTRANGE(""https://docs.google.com/spreadsheets/d/11923uPwbBZFjjGgGUA6NLw09EwE0CqkOc4q9oUmW1yo/edit?usp=sharing"",""แพร่!J120"")"),0)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IFERROR(__xludf.DUMMYFUNCTION("IMPORTRANGE(""https://docs.google.com/spreadsheets/d/11923uPwbBZFjjGgGUA6NLw09EwE0CqkOc4q9oUmW1yo/edit?usp=sharing"",""แพร่!J121"")"),0)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IFERROR(__xludf.DUMMYFUNCTION("IMPORTRANGE(""https://docs.google.com/spreadsheets/d/11923uPwbBZFjjGgGUA6NLw09EwE0CqkOc4q9oUmW1yo/edit?usp=sharing"",""แพร่!J122"")"),0)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IFERROR(__xludf.DUMMYFUNCTION("IMPORTRANGE(""https://docs.google.com/spreadsheets/d/11923uPwbBZFjjGgGUA6NLw09EwE0CqkOc4q9oUmW1yo/edit?usp=sharing"",""แพร่!I124"")"),50000)</f>
        <v>50000</v>
      </c>
      <c r="J199" s="188">
        <f ca="1">IFERROR(__xludf.DUMMYFUNCTION("IMPORTRANGE(""https://docs.google.com/spreadsheets/d/11923uPwbBZFjjGgGUA6NLw09EwE0CqkOc4q9oUmW1yo/edit?usp=sharing"",""แพร่!J124"")"),0)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IFERROR(__xludf.DUMMYFUNCTION("IMPORTRANGE(""https://docs.google.com/spreadsheets/d/11923uPwbBZFjjGgGUA6NLw09EwE0CqkOc4q9oUmW1yo/edit?usp=sharing"",""แพร่!I125"")"),50000)</f>
        <v>50000</v>
      </c>
      <c r="J200" s="188">
        <f ca="1">IFERROR(__xludf.DUMMYFUNCTION("IMPORTRANGE(""https://docs.google.com/spreadsheets/d/11923uPwbBZFjjGgGUA6NLw09EwE0CqkOc4q9oUmW1yo/edit?usp=sharing"",""แพร่!J125"")"),0)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IFERROR(__xludf.DUMMYFUNCTION("IMPORTRANGE(""https://docs.google.com/spreadsheets/d/11923uPwbBZFjjGgGUA6NLw09EwE0CqkOc4q9oUmW1yo/edit?usp=sharing"",""แพร่!I126"")"),0)</f>
        <v>0</v>
      </c>
      <c r="J201" s="188">
        <f ca="1">IFERROR(__xludf.DUMMYFUNCTION("IMPORTRANGE(""https://docs.google.com/spreadsheets/d/11923uPwbBZFjjGgGUA6NLw09EwE0CqkOc4q9oUmW1yo/edit?usp=sharing"",""แพร่!J126"")"),0)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IFERROR(__xludf.DUMMYFUNCTION("IMPORTRANGE(""https://docs.google.com/spreadsheets/d/11923uPwbBZFjjGgGUA6NLw09EwE0CqkOc4q9oUmW1yo/edit?usp=sharing"",""แพร่!J127"")"),0)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IFERROR(__xludf.DUMMYFUNCTION("IMPORTRANGE(""https://docs.google.com/spreadsheets/d/11923uPwbBZFjjGgGUA6NLw09EwE0CqkOc4q9oUmW1yo/edit?usp=sharing"",""แพร่!J128"")"),0)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IFERROR(__xludf.DUMMYFUNCTION("IMPORTRANGE(""https://docs.google.com/spreadsheets/d/11923uPwbBZFjjGgGUA6NLw09EwE0CqkOc4q9oUmW1yo/edit?usp=sharing"",""แพร่!I129"")"),0)</f>
        <v>0</v>
      </c>
      <c r="J204" s="282">
        <f ca="1">IFERROR(__xludf.DUMMYFUNCTION("IMPORTRANGE(""https://docs.google.com/spreadsheets/d/11923uPwbBZFjjGgGUA6NLw09EwE0CqkOc4q9oUmW1yo/edit?usp=sharing"",""แพร่!J129"")"),0)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IFERROR(__xludf.DUMMYFUNCTION("IMPORTRANGE(""https://docs.google.com/spreadsheets/d/11923uPwbBZFjjGgGUA6NLw09EwE0CqkOc4q9oUmW1yo/edit?usp=sharing"",""แพร่!J134"")"),0)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IFERROR(__xludf.DUMMYFUNCTION("IMPORTRANGE(""https://docs.google.com/spreadsheets/d/11923uPwbBZFjjGgGUA6NLw09EwE0CqkOc4q9oUmW1yo/edit?usp=sharing"",""แพร่!J135"")"),0)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IFERROR(__xludf.DUMMYFUNCTION("IMPORTRANGE(""https://docs.google.com/spreadsheets/d/11923uPwbBZFjjGgGUA6NLw09EwE0CqkOc4q9oUmW1yo/edit?usp=sharing"",""แพร่!J136"")"),0)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IFERROR(__xludf.DUMMYFUNCTION("IMPORTRANGE(""https://docs.google.com/spreadsheets/d/11923uPwbBZFjjGgGUA6NLw09EwE0CqkOc4q9oUmW1yo/edit?usp=sharing"",""แพร่!J137"")"),0)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IFERROR(__xludf.DUMMYFUNCTION("IMPORTRANGE(""https://docs.google.com/spreadsheets/d/11923uPwbBZFjjGgGUA6NLw09EwE0CqkOc4q9oUmW1yo/edit?usp=sharing"",""แพร่!I138"")"),0)</f>
        <v>0</v>
      </c>
      <c r="J213" s="203">
        <f ca="1">IFERROR(__xludf.DUMMYFUNCTION("IMPORTRANGE(""https://docs.google.com/spreadsheets/d/11923uPwbBZFjjGgGUA6NLw09EwE0CqkOc4q9oUmW1yo/edit?usp=sharing"",""แพร่!J138"")"),0)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IFERROR(__xludf.DUMMYFUNCTION("IMPORTRANGE(""https://docs.google.com/spreadsheets/d/11923uPwbBZFjjGgGUA6NLw09EwE0CqkOc4q9oUmW1yo/edit?usp=sharing"",""แพร่!I140"")"),0)</f>
        <v>0</v>
      </c>
      <c r="J215" s="203">
        <f ca="1">IFERROR(__xludf.DUMMYFUNCTION("IMPORTRANGE(""https://docs.google.com/spreadsheets/d/11923uPwbBZFjjGgGUA6NLw09EwE0CqkOc4q9oUmW1yo/edit?usp=sharing"",""แพร่!J140"")"),0)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IFERROR(__xludf.DUMMYFUNCTION("IMPORTRANGE(""https://docs.google.com/spreadsheets/d/11923uPwbBZFjjGgGUA6NLw09EwE0CqkOc4q9oUmW1yo/edit?usp=sharing"",""แพร่!I141"")"),0)</f>
        <v>0</v>
      </c>
      <c r="J216" s="203">
        <f ca="1">IFERROR(__xludf.DUMMYFUNCTION("IMPORTRANGE(""https://docs.google.com/spreadsheets/d/11923uPwbBZFjjGgGUA6NLw09EwE0CqkOc4q9oUmW1yo/edit?usp=sharing"",""แพร่!J141"")"),0)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IFERROR(__xludf.DUMMYFUNCTION("IMPORTRANGE(""https://docs.google.com/spreadsheets/d/11923uPwbBZFjjGgGUA6NLw09EwE0CqkOc4q9oUmW1yo/edit?usp=sharing"",""แพร่!J142"")"),0)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IFERROR(__xludf.DUMMYFUNCTION("IMPORTRANGE(""https://docs.google.com/spreadsheets/d/11923uPwbBZFjjGgGUA6NLw09EwE0CqkOc4q9oUmW1yo/edit?usp=sharing"",""แพร่!J143"")"),0)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IFERROR(__xludf.DUMMYFUNCTION("IMPORTRANGE(""https://docs.google.com/spreadsheets/d/11923uPwbBZFjjGgGUA6NLw09EwE0CqkOc4q9oUmW1yo/edit?usp=sharing"",""แพร่!I144"")"),15)</f>
        <v>15</v>
      </c>
      <c r="J219" s="266">
        <f ca="1">IFERROR(__xludf.DUMMYFUNCTION("IMPORTRANGE(""https://docs.google.com/spreadsheets/d/11923uPwbBZFjjGgGUA6NLw09EwE0CqkOc4q9oUmW1yo/edit?usp=sharing"",""แพร่!J144"")"),15)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21125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21125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IFERROR(__xludf.DUMMYFUNCTION("IMPORTRANGE(""https://docs.google.com/spreadsheets/d/1Yj_ptqi66GCucihVvJfMjLAmec39IyEx_6qawtMGysU/edit?usp=sharing"",""สบก!BS30"")"),21125)</f>
        <v>21125</v>
      </c>
      <c r="N224" s="168">
        <f ca="1">IFERROR(__xludf.DUMMYFUNCTION("IMPORTRANGE(""https://docs.google.com/spreadsheets/d/1Yj_ptqi66GCucihVvJfMjLAmec39IyEx_6qawtMGysU/edit?usp=sharing"",""สบก!BT30"")"),21125)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IFERROR(__xludf.DUMMYFUNCTION("IMPORTRANGE(""https://docs.google.com/spreadsheets/d/1Yj_ptqi66GCucihVvJfMjLAmec39IyEx_6qawtMGysU/edit?usp=sharing"",""สบก!BO30"")"),0)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IFERROR(__xludf.DUMMYFUNCTION("IMPORTRANGE(""https://docs.google.com/spreadsheets/d/1Yj_ptqi66GCucihVvJfMjLAmec39IyEx_6qawtMGysU/edit?usp=sharing"",""สบก!BP30"")"),21125)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IFERROR(__xludf.DUMMYFUNCTION("IMPORTRANGE(""https://docs.google.com/spreadsheets/d/1Yj_ptqi66GCucihVvJfMjLAmec39IyEx_6qawtMGysU/edit?usp=sharing"",""สบก!BQ30"")"),0)</f>
        <v>0</v>
      </c>
      <c r="M228" s="49"/>
      <c r="N228" s="49">
        <f ca="1">IFERROR(__xludf.DUMMYFUNCTION("IMPORTRANGE(""https://docs.google.com/spreadsheets/d/1Yj_ptqi66GCucihVvJfMjLAmec39IyEx_6qawtMGysU/edit?usp=sharing"",""สบก!BU30"")"),0)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IFERROR(__xludf.DUMMYFUNCTION("IMPORTRANGE(""https://docs.google.com/spreadsheets/d/11923uPwbBZFjjGgGUA6NLw09EwE0CqkOc4q9oUmW1yo/edit?usp=sharing"",""แพร่!I149"")"),15)</f>
        <v>15</v>
      </c>
      <c r="J229" s="266">
        <f ca="1">IFERROR(__xludf.DUMMYFUNCTION("IMPORTRANGE(""https://docs.google.com/spreadsheets/d/11923uPwbBZFjjGgGUA6NLw09EwE0CqkOc4q9oUmW1yo/edit?usp=sharing"",""แพร่!J149"")"),15)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IFERROR(__xludf.DUMMYFUNCTION("IMPORTRANGE(""https://docs.google.com/spreadsheets/d/11923uPwbBZFjjGgGUA6NLw09EwE0CqkOc4q9oUmW1yo/edit?usp=sharing"",""แพร่!J151"")"),0)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IFERROR(__xludf.DUMMYFUNCTION("IMPORTRANGE(""https://docs.google.com/spreadsheets/d/11923uPwbBZFjjGgGUA6NLw09EwE0CqkOc4q9oUmW1yo/edit?usp=sharing"",""แพร่!J152"")"),1)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IFERROR(__xludf.DUMMYFUNCTION("IMPORTRANGE(""https://docs.google.com/spreadsheets/d/11923uPwbBZFjjGgGUA6NLw09EwE0CqkOc4q9oUmW1yo/edit?usp=sharing"",""แพร่!J153"")"),1)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IFERROR(__xludf.DUMMYFUNCTION("IMPORTRANGE(""https://docs.google.com/spreadsheets/d/11923uPwbBZFjjGgGUA6NLw09EwE0CqkOc4q9oUmW1yo/edit?usp=sharing"",""แพร่!J154"")"),1)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IFERROR(__xludf.DUMMYFUNCTION("IMPORTRANGE(""https://docs.google.com/spreadsheets/d/11923uPwbBZFjjGgGUA6NLw09EwE0CqkOc4q9oUmW1yo/edit?usp=sharing"",""แพร่!I155"")"),15)</f>
        <v>15</v>
      </c>
      <c r="J235" s="188">
        <f ca="1">IFERROR(__xludf.DUMMYFUNCTION("IMPORTRANGE(""https://docs.google.com/spreadsheets/d/11923uPwbBZFjjGgGUA6NLw09EwE0CqkOc4q9oUmW1yo/edit?usp=sharing"",""แพร่!J155"")"),15)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IFERROR(__xludf.DUMMYFUNCTION("IMPORTRANGE(""https://docs.google.com/spreadsheets/d/11923uPwbBZFjjGgGUA6NLw09EwE0CqkOc4q9oUmW1yo/edit?usp=sharing"",""แพร่!J156"")"),0)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IFERROR(__xludf.DUMMYFUNCTION("IMPORTRANGE(""https://docs.google.com/spreadsheets/d/11923uPwbBZFjjGgGUA6NLw09EwE0CqkOc4q9oUmW1yo/edit?usp=sharing"",""แพร่!J157"")"),0)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IFERROR(__xludf.DUMMYFUNCTION("IMPORTRANGE(""https://docs.google.com/spreadsheets/d/11923uPwbBZFjjGgGUA6NLw09EwE0CqkOc4q9oUmW1yo/edit?usp=sharing"",""แพร่!I158"")"),0)</f>
        <v>0</v>
      </c>
      <c r="J238" s="266">
        <f ca="1">IFERROR(__xludf.DUMMYFUNCTION("IMPORTRANGE(""https://docs.google.com/spreadsheets/d/11923uPwbBZFjjGgGUA6NLw09EwE0CqkOc4q9oUmW1yo/edit?usp=sharing"",""แพร่!J158"")"),0)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IFERROR(__xludf.DUMMYFUNCTION("IMPORTRANGE(""https://docs.google.com/spreadsheets/d/11923uPwbBZFjjGgGUA6NLw09EwE0CqkOc4q9oUmW1yo/edit?usp=sharing"",""แพร่!J159"")"),"")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IFERROR(__xludf.DUMMYFUNCTION("IMPORTRANGE(""https://docs.google.com/spreadsheets/d/11923uPwbBZFjjGgGUA6NLw09EwE0CqkOc4q9oUmW1yo/edit?usp=sharing"",""แพร่!J161"")"),0)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IFERROR(__xludf.DUMMYFUNCTION("IMPORTRANGE(""https://docs.google.com/spreadsheets/d/11923uPwbBZFjjGgGUA6NLw09EwE0CqkOc4q9oUmW1yo/edit?usp=sharing"",""แพร่!J162"")"),0)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IFERROR(__xludf.DUMMYFUNCTION("IMPORTRANGE(""https://docs.google.com/spreadsheets/d/11923uPwbBZFjjGgGUA6NLw09EwE0CqkOc4q9oUmW1yo/edit?usp=sharing"",""แพร่!J163"")"),0)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IFERROR(__xludf.DUMMYFUNCTION("IMPORTRANGE(""https://docs.google.com/spreadsheets/d/11923uPwbBZFjjGgGUA6NLw09EwE0CqkOc4q9oUmW1yo/edit?usp=sharing"",""แพร่!I164"")"),0)</f>
        <v>0</v>
      </c>
      <c r="J244" s="187">
        <f ca="1">IFERROR(__xludf.DUMMYFUNCTION("IMPORTRANGE(""https://docs.google.com/spreadsheets/d/11923uPwbBZFjjGgGUA6NLw09EwE0CqkOc4q9oUmW1yo/edit?usp=sharing"",""แพร่!J164"")"),0)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IFERROR(__xludf.DUMMYFUNCTION("IMPORTRANGE(""https://docs.google.com/spreadsheets/d/11923uPwbBZFjjGgGUA6NLw09EwE0CqkOc4q9oUmW1yo/edit?usp=sharing"",""แพร่!J165"")"),0)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IFERROR(__xludf.DUMMYFUNCTION("IMPORTRANGE(""https://docs.google.com/spreadsheets/d/11923uPwbBZFjjGgGUA6NLw09EwE0CqkOc4q9oUmW1yo/edit?usp=sharing"",""แพร่!J166"")"),0)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IFERROR(__xludf.DUMMYFUNCTION("IMPORTRANGE(""https://docs.google.com/spreadsheets/d/11923uPwbBZFjjGgGUA6NLw09EwE0CqkOc4q9oUmW1yo/edit?usp=sharing"",""แพร่!I169"")"),30)</f>
        <v>30</v>
      </c>
      <c r="J249" s="314">
        <f ca="1">IFERROR(__xludf.DUMMYFUNCTION("IMPORTRANGE(""https://docs.google.com/spreadsheets/d/11923uPwbBZFjjGgGUA6NLw09EwE0CqkOc4q9oUmW1yo/edit?usp=sharing"",""แพร่!J169"")"),20)</f>
        <v>20</v>
      </c>
      <c r="K249" s="315">
        <f ca="1">IF(I249&gt;0,J249*100/I249,0)</f>
        <v>66.666666666666671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217000</v>
      </c>
      <c r="M250" s="151">
        <f t="shared" ca="1" si="77"/>
        <v>113000</v>
      </c>
      <c r="N250" s="151">
        <f t="shared" ca="1" si="77"/>
        <v>79140</v>
      </c>
      <c r="O250" s="150">
        <f t="shared" ref="O250:O252" ca="1" si="78">IF(L250&gt;0,N250*100/L250,0)</f>
        <v>36.47004608294931</v>
      </c>
      <c r="P250" s="150">
        <f t="shared" ref="P250:P252" ca="1" si="79">IF(M250&gt;0,N250*100/M250,0)</f>
        <v>70.035398230088489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217000</v>
      </c>
      <c r="M252" s="87">
        <f t="shared" ca="1" si="81"/>
        <v>113000</v>
      </c>
      <c r="N252" s="87">
        <f t="shared" ca="1" si="81"/>
        <v>79140</v>
      </c>
      <c r="O252" s="155">
        <f t="shared" ca="1" si="78"/>
        <v>36.47004608294931</v>
      </c>
      <c r="P252" s="155">
        <f t="shared" ca="1" si="79"/>
        <v>70.035398230088489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217000</v>
      </c>
      <c r="M254" s="167">
        <f ca="1">IFERROR(__xludf.DUMMYFUNCTION("IMPORTRANGE(""https://docs.google.com/spreadsheets/d/1Yj_ptqi66GCucihVvJfMjLAmec39IyEx_6qawtMGysU/edit?usp=sharing"",""สบก!CB30"")"),113000)</f>
        <v>113000</v>
      </c>
      <c r="N254" s="168">
        <f ca="1">IFERROR(__xludf.DUMMYFUNCTION("IMPORTRANGE(""https://docs.google.com/spreadsheets/d/1Yj_ptqi66GCucihVvJfMjLAmec39IyEx_6qawtMGysU/edit?usp=sharing"",""สบก!CC30"")"),79140)</f>
        <v>79140</v>
      </c>
      <c r="O254" s="168">
        <f ca="1">IF(L254&gt;0,N254*100/L254,0)</f>
        <v>36.47004608294931</v>
      </c>
      <c r="P254" s="168">
        <f ca="1">IF(M254&gt;0,N254*100/M254,0)</f>
        <v>70.035398230088489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IFERROR(__xludf.DUMMYFUNCTION("IMPORTRANGE(""https://docs.google.com/spreadsheets/d/1Yj_ptqi66GCucihVvJfMjLAmec39IyEx_6qawtMGysU/edit?usp=sharing"",""สบก!BX30"")"),0)</f>
        <v>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IFERROR(__xludf.DUMMYFUNCTION("IMPORTRANGE(""https://docs.google.com/spreadsheets/d/1Yj_ptqi66GCucihVvJfMjLAmec39IyEx_6qawtMGysU/edit?usp=sharing"",""สบก!BY30"")"),217000)</f>
        <v>217000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IFERROR(__xludf.DUMMYFUNCTION("IMPORTRANGE(""https://docs.google.com/spreadsheets/d/1Yj_ptqi66GCucihVvJfMjLAmec39IyEx_6qawtMGysU/edit?usp=sharing"",""สบก!BZ30"")"),0)</f>
        <v>0</v>
      </c>
      <c r="M258" s="49"/>
      <c r="N258" s="49">
        <f ca="1">IFERROR(__xludf.DUMMYFUNCTION("IMPORTRANGE(""https://docs.google.com/spreadsheets/d/1Yj_ptqi66GCucihVvJfMjLAmec39IyEx_6qawtMGysU/edit?usp=sharing"",""สบก!CD30"")"),0)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IFERROR(__xludf.DUMMYFUNCTION("IMPORTRANGE(""https://docs.google.com/spreadsheets/d/11923uPwbBZFjjGgGUA6NLw09EwE0CqkOc4q9oUmW1yo/edit?usp=sharing"",""แพร่!J175"")"),0)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IFERROR(__xludf.DUMMYFUNCTION("IMPORTRANGE(""https://docs.google.com/spreadsheets/d/11923uPwbBZFjjGgGUA6NLw09EwE0CqkOc4q9oUmW1yo/edit?usp=sharing"",""แพร่!J176"")"),1)</f>
        <v>1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IFERROR(__xludf.DUMMYFUNCTION("IMPORTRANGE(""https://docs.google.com/spreadsheets/d/11923uPwbBZFjjGgGUA6NLw09EwE0CqkOc4q9oUmW1yo/edit?usp=sharing"",""แพร่!J177"")"),1)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IFERROR(__xludf.DUMMYFUNCTION("IMPORTRANGE(""https://docs.google.com/spreadsheets/d/11923uPwbBZFjjGgGUA6NLw09EwE0CqkOc4q9oUmW1yo/edit?usp=sharing"",""แพร่!J178"")"),1)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IFERROR(__xludf.DUMMYFUNCTION("IMPORTRANGE(""https://docs.google.com/spreadsheets/d/11923uPwbBZFjjGgGUA6NLw09EwE0CqkOc4q9oUmW1yo/edit?usp=sharing"",""แพร่!I179"")"),1)</f>
        <v>1</v>
      </c>
      <c r="J264" s="188">
        <f ca="1">IFERROR(__xludf.DUMMYFUNCTION("IMPORTRANGE(""https://docs.google.com/spreadsheets/d/11923uPwbBZFjjGgGUA6NLw09EwE0CqkOc4q9oUmW1yo/edit?usp=sharing"",""แพร่!J179"")"),1)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IFERROR(__xludf.DUMMYFUNCTION("IMPORTRANGE(""https://docs.google.com/spreadsheets/d/11923uPwbBZFjjGgGUA6NLw09EwE0CqkOc4q9oUmW1yo/edit?usp=sharing"",""แพร่!I180"")"),30)</f>
        <v>30</v>
      </c>
      <c r="J265" s="188">
        <f ca="1">IFERROR(__xludf.DUMMYFUNCTION("IMPORTRANGE(""https://docs.google.com/spreadsheets/d/11923uPwbBZFjjGgGUA6NLw09EwE0CqkOc4q9oUmW1yo/edit?usp=sharing"",""แพร่!J180"")"),20)</f>
        <v>20</v>
      </c>
      <c r="K265" s="163">
        <f t="shared" ca="1" si="82"/>
        <v>66.666666666666671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IFERROR(__xludf.DUMMYFUNCTION("IMPORTRANGE(""https://docs.google.com/spreadsheets/d/11923uPwbBZFjjGgGUA6NLw09EwE0CqkOc4q9oUmW1yo/edit?usp=sharing"",""แพร่!I181"")"),30)</f>
        <v>30</v>
      </c>
      <c r="J266" s="188">
        <f ca="1">IFERROR(__xludf.DUMMYFUNCTION("IMPORTRANGE(""https://docs.google.com/spreadsheets/d/11923uPwbBZFjjGgGUA6NLw09EwE0CqkOc4q9oUmW1yo/edit?usp=sharing"",""แพร่!J181"")"),0)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IFERROR(__xludf.DUMMYFUNCTION("IMPORTRANGE(""https://docs.google.com/spreadsheets/d/11923uPwbBZFjjGgGUA6NLw09EwE0CqkOc4q9oUmW1yo/edit?usp=sharing"",""แพร่!I182"")"),1)</f>
        <v>1</v>
      </c>
      <c r="J267" s="188">
        <f ca="1">IFERROR(__xludf.DUMMYFUNCTION("IMPORTRANGE(""https://docs.google.com/spreadsheets/d/11923uPwbBZFjjGgGUA6NLw09EwE0CqkOc4q9oUmW1yo/edit?usp=sharing"",""แพร่!J182"")"),1)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IFERROR(__xludf.DUMMYFUNCTION("IMPORTRANGE(""https://docs.google.com/spreadsheets/d/11923uPwbBZFjjGgGUA6NLw09EwE0CqkOc4q9oUmW1yo/edit?usp=sharing"",""แพร่!J183"")"),0)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IFERROR(__xludf.DUMMYFUNCTION("IMPORTRANGE(""https://docs.google.com/spreadsheets/d/11923uPwbBZFjjGgGUA6NLw09EwE0CqkOc4q9oUmW1yo/edit?usp=sharing"",""แพร่!J184"")"),0)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IFERROR(__xludf.DUMMYFUNCTION("IMPORTRANGE(""https://docs.google.com/spreadsheets/d/11923uPwbBZFjjGgGUA6NLw09EwE0CqkOc4q9oUmW1yo/edit?usp=sharing"",""แพร่!I185"")"),20)</f>
        <v>20</v>
      </c>
      <c r="J270" s="314">
        <f ca="1">IFERROR(__xludf.DUMMYFUNCTION("IMPORTRANGE(""https://docs.google.com/spreadsheets/d/11923uPwbBZFjjGgGUA6NLw09EwE0CqkOc4q9oUmW1yo/edit?usp=sharing"",""แพร่!J185"")"),20)</f>
        <v>20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205700</v>
      </c>
      <c r="M271" s="151">
        <f t="shared" ca="1" si="83"/>
        <v>99000</v>
      </c>
      <c r="N271" s="151">
        <f t="shared" ca="1" si="83"/>
        <v>107150</v>
      </c>
      <c r="O271" s="150">
        <f t="shared" ref="O271:O273" ca="1" si="84">IF(L271&gt;0,N271*100/L271,0)</f>
        <v>52.090422946037918</v>
      </c>
      <c r="P271" s="150">
        <f t="shared" ref="P271:P273" ca="1" si="85">IF(M271&gt;0,N271*100/M271,0)</f>
        <v>108.23232323232324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205700</v>
      </c>
      <c r="M273" s="87">
        <f t="shared" ca="1" si="87"/>
        <v>99000</v>
      </c>
      <c r="N273" s="87">
        <f t="shared" ca="1" si="87"/>
        <v>107150</v>
      </c>
      <c r="O273" s="155">
        <f t="shared" ca="1" si="84"/>
        <v>52.090422946037918</v>
      </c>
      <c r="P273" s="155">
        <f t="shared" ca="1" si="85"/>
        <v>108.23232323232324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205700</v>
      </c>
      <c r="M275" s="167">
        <f ca="1">IFERROR(__xludf.DUMMYFUNCTION("IMPORTRANGE(""https://docs.google.com/spreadsheets/d/1Yj_ptqi66GCucihVvJfMjLAmec39IyEx_6qawtMGysU/edit?usp=sharing"",""สบก!CK30"")"),99000)</f>
        <v>99000</v>
      </c>
      <c r="N275" s="168">
        <f ca="1">IFERROR(__xludf.DUMMYFUNCTION("IMPORTRANGE(""https://docs.google.com/spreadsheets/d/1Yj_ptqi66GCucihVvJfMjLAmec39IyEx_6qawtMGysU/edit?usp=sharing"",""สบก!CL30"")"),107150)</f>
        <v>107150</v>
      </c>
      <c r="O275" s="168">
        <f ca="1">IF(L275&gt;0,N275*100/L275,0)</f>
        <v>52.090422946037918</v>
      </c>
      <c r="P275" s="168">
        <f ca="1">IF(M275&gt;0,N275*100/M275,0)</f>
        <v>108.23232323232324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IFERROR(__xludf.DUMMYFUNCTION("IMPORTRANGE(""https://docs.google.com/spreadsheets/d/1Yj_ptqi66GCucihVvJfMjLAmec39IyEx_6qawtMGysU/edit?usp=sharing"",""สบก!CG30"")"),132000)</f>
        <v>132000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IFERROR(__xludf.DUMMYFUNCTION("IMPORTRANGE(""https://docs.google.com/spreadsheets/d/1Yj_ptqi66GCucihVvJfMjLAmec39IyEx_6qawtMGysU/edit?usp=sharing"",""สบก!CH30"")"),73700)</f>
        <v>73700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IFERROR(__xludf.DUMMYFUNCTION("IMPORTRANGE(""https://docs.google.com/spreadsheets/d/1Yj_ptqi66GCucihVvJfMjLAmec39IyEx_6qawtMGysU/edit?usp=sharing"",""สบก!CI30"")"),0)</f>
        <v>0</v>
      </c>
      <c r="M279" s="49"/>
      <c r="N279" s="49">
        <f ca="1">IFERROR(__xludf.DUMMYFUNCTION("IMPORTRANGE(""https://docs.google.com/spreadsheets/d/1Yj_ptqi66GCucihVvJfMjLAmec39IyEx_6qawtMGysU/edit?usp=sharing"",""สบก!CM30"")"),0)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IFERROR(__xludf.DUMMYFUNCTION("IMPORTRANGE(""https://docs.google.com/spreadsheets/d/11923uPwbBZFjjGgGUA6NLw09EwE0CqkOc4q9oUmW1yo/edit?usp=sharing"",""แพร่!J191"")"),0)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IFERROR(__xludf.DUMMYFUNCTION("IMPORTRANGE(""https://docs.google.com/spreadsheets/d/11923uPwbBZFjjGgGUA6NLw09EwE0CqkOc4q9oUmW1yo/edit?usp=sharing"",""แพร่!J192"")"),1)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IFERROR(__xludf.DUMMYFUNCTION("IMPORTRANGE(""https://docs.google.com/spreadsheets/d/11923uPwbBZFjjGgGUA6NLw09EwE0CqkOc4q9oUmW1yo/edit?usp=sharing"",""แพร่!J193"")"),1)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IFERROR(__xludf.DUMMYFUNCTION("IMPORTRANGE(""https://docs.google.com/spreadsheets/d/11923uPwbBZFjjGgGUA6NLw09EwE0CqkOc4q9oUmW1yo/edit?usp=sharing"",""แพร่!J194"")"),1)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IFERROR(__xludf.DUMMYFUNCTION("IMPORTRANGE(""https://docs.google.com/spreadsheets/d/11923uPwbBZFjjGgGUA6NLw09EwE0CqkOc4q9oUmW1yo/edit?usp=sharing"",""แพร่!I195"")"),20)</f>
        <v>20</v>
      </c>
      <c r="J285" s="188">
        <f ca="1">IFERROR(__xludf.DUMMYFUNCTION("IMPORTRANGE(""https://docs.google.com/spreadsheets/d/11923uPwbBZFjjGgGUA6NLw09EwE0CqkOc4q9oUmW1yo/edit?usp=sharing"",""แพร่!J195"")"),20)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IFERROR(__xludf.DUMMYFUNCTION("IMPORTRANGE(""https://docs.google.com/spreadsheets/d/11923uPwbBZFjjGgGUA6NLw09EwE0CqkOc4q9oUmW1yo/edit?usp=sharing"",""แพร่!J196"")"),0)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IFERROR(__xludf.DUMMYFUNCTION("IMPORTRANGE(""https://docs.google.com/spreadsheets/d/11923uPwbBZFjjGgGUA6NLw09EwE0CqkOc4q9oUmW1yo/edit?usp=sharing"",""แพร่!J197"")"),0)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IFERROR(__xludf.DUMMYFUNCTION("IMPORTRANGE(""https://docs.google.com/spreadsheets/d/11923uPwbBZFjjGgGUA6NLw09EwE0CqkOc4q9oUmW1yo/edit?usp=sharing"",""แพร่!I199"")"),0)</f>
        <v>0</v>
      </c>
      <c r="J289" s="314">
        <f ca="1">IFERROR(__xludf.DUMMYFUNCTION("IMPORTRANGE(""https://docs.google.com/spreadsheets/d/11923uPwbBZFjjGgGUA6NLw09EwE0CqkOc4q9oUmW1yo/edit?usp=sharing"",""แพร่!J199"")"),0)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IFERROR(__xludf.DUMMYFUNCTION("IMPORTRANGE(""https://docs.google.com/spreadsheets/d/1Yj_ptqi66GCucihVvJfMjLAmec39IyEx_6qawtMGysU/edit?usp=sharing"",""สบก!CT30"")"),0)</f>
        <v>0</v>
      </c>
      <c r="N294" s="168">
        <f ca="1">IFERROR(__xludf.DUMMYFUNCTION("IMPORTRANGE(""https://docs.google.com/spreadsheets/d/1Yj_ptqi66GCucihVvJfMjLAmec39IyEx_6qawtMGysU/edit?usp=sharing"",""สบก!CU30"")"),0)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IFERROR(__xludf.DUMMYFUNCTION("IMPORTRANGE(""https://docs.google.com/spreadsheets/d/1Yj_ptqi66GCucihVvJfMjLAmec39IyEx_6qawtMGysU/edit?usp=sharing"",""สบก!CP30"")"),0)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IFERROR(__xludf.DUMMYFUNCTION("IMPORTRANGE(""https://docs.google.com/spreadsheets/d/1Yj_ptqi66GCucihVvJfMjLAmec39IyEx_6qawtMGysU/edit?usp=sharing"",""สบก!CQ30"")"),0)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IFERROR(__xludf.DUMMYFUNCTION("IMPORTRANGE(""https://docs.google.com/spreadsheets/d/1Yj_ptqi66GCucihVvJfMjLAmec39IyEx_6qawtMGysU/edit?usp=sharing"",""สบก!CR30"")"),0)</f>
        <v>0</v>
      </c>
      <c r="M298" s="49"/>
      <c r="N298" s="49">
        <f ca="1">IFERROR(__xludf.DUMMYFUNCTION("IMPORTRANGE(""https://docs.google.com/spreadsheets/d/1Yj_ptqi66GCucihVvJfMjLAmec39IyEx_6qawtMGysU/edit?usp=sharing"",""สบก!CV30"")"),0)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IFERROR(__xludf.DUMMYFUNCTION("IMPORTRANGE(""https://docs.google.com/spreadsheets/d/11923uPwbBZFjjGgGUA6NLw09EwE0CqkOc4q9oUmW1yo/edit?usp=sharing"",""แพร่!J205"")"),0)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IFERROR(__xludf.DUMMYFUNCTION("IMPORTRANGE(""https://docs.google.com/spreadsheets/d/11923uPwbBZFjjGgGUA6NLw09EwE0CqkOc4q9oUmW1yo/edit?usp=sharing"",""แพร่!J206"")"),0)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IFERROR(__xludf.DUMMYFUNCTION("IMPORTRANGE(""https://docs.google.com/spreadsheets/d/11923uPwbBZFjjGgGUA6NLw09EwE0CqkOc4q9oUmW1yo/edit?usp=sharing"",""แพร่!J207"")"),0)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IFERROR(__xludf.DUMMYFUNCTION("IMPORTRANGE(""https://docs.google.com/spreadsheets/d/11923uPwbBZFjjGgGUA6NLw09EwE0CqkOc4q9oUmW1yo/edit?usp=sharing"",""แพร่!J208"")"),0)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IFERROR(__xludf.DUMMYFUNCTION("IMPORTRANGE(""https://docs.google.com/spreadsheets/d/11923uPwbBZFjjGgGUA6NLw09EwE0CqkOc4q9oUmW1yo/edit?usp=sharing"",""แพร่!I209"")"),0)</f>
        <v>0</v>
      </c>
      <c r="J304" s="203">
        <f ca="1">IFERROR(__xludf.DUMMYFUNCTION("IMPORTRANGE(""https://docs.google.com/spreadsheets/d/11923uPwbBZFjjGgGUA6NLw09EwE0CqkOc4q9oUmW1yo/edit?usp=sharing"",""แพร่!J209"")"),0)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IFERROR(__xludf.DUMMYFUNCTION("IMPORTRANGE(""https://docs.google.com/spreadsheets/d/11923uPwbBZFjjGgGUA6NLw09EwE0CqkOc4q9oUmW1yo/edit?usp=sharing"",""แพร่!I211"")"),0)</f>
        <v>0</v>
      </c>
      <c r="J306" s="203">
        <f ca="1">IFERROR(__xludf.DUMMYFUNCTION("IMPORTRANGE(""https://docs.google.com/spreadsheets/d/11923uPwbBZFjjGgGUA6NLw09EwE0CqkOc4q9oUmW1yo/edit?usp=sharing"",""แพร่!J211"")"),0)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IFERROR(__xludf.DUMMYFUNCTION("IMPORTRANGE(""https://docs.google.com/spreadsheets/d/11923uPwbBZFjjGgGUA6NLw09EwE0CqkOc4q9oUmW1yo/edit?usp=sharing"",""แพร่!J212"")"),0)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IFERROR(__xludf.DUMMYFUNCTION("IMPORTRANGE(""https://docs.google.com/spreadsheets/d/11923uPwbBZFjjGgGUA6NLw09EwE0CqkOc4q9oUmW1yo/edit?usp=sharing"",""แพร่!J213"")"),0)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IFERROR(__xludf.DUMMYFUNCTION("IMPORTRANGE(""https://docs.google.com/spreadsheets/d/11923uPwbBZFjjGgGUA6NLw09EwE0CqkOc4q9oUmW1yo/edit?usp=sharing"",""แพร่!I214"")"),0)</f>
        <v>0</v>
      </c>
      <c r="J309" s="331">
        <f ca="1">IFERROR(__xludf.DUMMYFUNCTION("IMPORTRANGE(""https://docs.google.com/spreadsheets/d/11923uPwbBZFjjGgGUA6NLw09EwE0CqkOc4q9oUmW1yo/edit?usp=sharing"",""แพร่!J214"")"),0)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IFERROR(__xludf.DUMMYFUNCTION("IMPORTRANGE(""https://docs.google.com/spreadsheets/d/1Yj_ptqi66GCucihVvJfMjLAmec39IyEx_6qawtMGysU/edit?usp=sharing"",""สบก!DC30"")"),0)</f>
        <v>0</v>
      </c>
      <c r="N314" s="168">
        <f ca="1">IFERROR(__xludf.DUMMYFUNCTION("IMPORTRANGE(""https://docs.google.com/spreadsheets/d/1Yj_ptqi66GCucihVvJfMjLAmec39IyEx_6qawtMGysU/edit?usp=sharing"",""สบก!DD30"")"),0)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IFERROR(__xludf.DUMMYFUNCTION("IMPORTRANGE(""https://docs.google.com/spreadsheets/d/1Yj_ptqi66GCucihVvJfMjLAmec39IyEx_6qawtMGysU/edit?usp=sharing"",""สบก!CY30"")"),0)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IFERROR(__xludf.DUMMYFUNCTION("IMPORTRANGE(""https://docs.google.com/spreadsheets/d/1Yj_ptqi66GCucihVvJfMjLAmec39IyEx_6qawtMGysU/edit?usp=sharing"",""สบก!CZ30"")"),0)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IFERROR(__xludf.DUMMYFUNCTION("IMPORTRANGE(""https://docs.google.com/spreadsheets/d/1Yj_ptqi66GCucihVvJfMjLAmec39IyEx_6qawtMGysU/edit?usp=sharing"",""สบก!DA30"")"),0)</f>
        <v>0</v>
      </c>
      <c r="M318" s="49"/>
      <c r="N318" s="49">
        <f ca="1">IFERROR(__xludf.DUMMYFUNCTION("IMPORTRANGE(""https://docs.google.com/spreadsheets/d/1Yj_ptqi66GCucihVvJfMjLAmec39IyEx_6qawtMGysU/edit?usp=sharing"",""สบก!DE30"")"),0)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IFERROR(__xludf.DUMMYFUNCTION("IMPORTRANGE(""https://docs.google.com/spreadsheets/d/11923uPwbBZFjjGgGUA6NLw09EwE0CqkOc4q9oUmW1yo/edit?usp=sharing"",""แพร่!J220"")"),0)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IFERROR(__xludf.DUMMYFUNCTION("IMPORTRANGE(""https://docs.google.com/spreadsheets/d/11923uPwbBZFjjGgGUA6NLw09EwE0CqkOc4q9oUmW1yo/edit?usp=sharing"",""แพร่!J221"")"),0)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IFERROR(__xludf.DUMMYFUNCTION("IMPORTRANGE(""https://docs.google.com/spreadsheets/d/11923uPwbBZFjjGgGUA6NLw09EwE0CqkOc4q9oUmW1yo/edit?usp=sharing"",""แพร่!J222"")"),0)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IFERROR(__xludf.DUMMYFUNCTION("IMPORTRANGE(""https://docs.google.com/spreadsheets/d/11923uPwbBZFjjGgGUA6NLw09EwE0CqkOc4q9oUmW1yo/edit?usp=sharing"",""แพร่!J223"")"),0)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IFERROR(__xludf.DUMMYFUNCTION("IMPORTRANGE(""https://docs.google.com/spreadsheets/d/11923uPwbBZFjjGgGUA6NLw09EwE0CqkOc4q9oUmW1yo/edit?usp=sharing"",""แพร่!I224"")"),0)</f>
        <v>0</v>
      </c>
      <c r="J324" s="203">
        <f ca="1">IFERROR(__xludf.DUMMYFUNCTION("IMPORTRANGE(""https://docs.google.com/spreadsheets/d/11923uPwbBZFjjGgGUA6NLw09EwE0CqkOc4q9oUmW1yo/edit?usp=sharing"",""แพร่!J224"")"),0)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IFERROR(__xludf.DUMMYFUNCTION("IMPORTRANGE(""https://docs.google.com/spreadsheets/d/11923uPwbBZFjjGgGUA6NLw09EwE0CqkOc4q9oUmW1yo/edit?usp=sharing"",""แพร่!J225"")"),0)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IFERROR(__xludf.DUMMYFUNCTION("IMPORTRANGE(""https://docs.google.com/spreadsheets/d/11923uPwbBZFjjGgGUA6NLw09EwE0CqkOc4q9oUmW1yo/edit?usp=sharing"",""แพร่!J226"")"),0)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IFERROR(__xludf.DUMMYFUNCTION("IMPORTRANGE(""https://docs.google.com/spreadsheets/d/11923uPwbBZFjjGgGUA6NLw09EwE0CqkOc4q9oUmW1yo/edit?usp=sharing"",""แพร่!I228"")"),360)</f>
        <v>360</v>
      </c>
      <c r="J328" s="337">
        <f ca="1">IFERROR(__xludf.DUMMYFUNCTION("IMPORTRANGE(""https://docs.google.com/spreadsheets/d/11923uPwbBZFjjGgGUA6NLw09EwE0CqkOc4q9oUmW1yo/edit?usp=sharing"",""แพร่!J228"")"),235)</f>
        <v>235</v>
      </c>
      <c r="K328" s="315">
        <f ca="1">IF(I328&gt;0,J328*100/I328,0)</f>
        <v>65.277777777777771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833180</v>
      </c>
      <c r="M329" s="151">
        <f t="shared" ca="1" si="98"/>
        <v>447000</v>
      </c>
      <c r="N329" s="151">
        <f t="shared" ca="1" si="98"/>
        <v>410465</v>
      </c>
      <c r="O329" s="150">
        <f t="shared" ref="O329:O331" ca="1" si="99">IF(L329&gt;0,N329*100/L329,0)</f>
        <v>49.26486473511126</v>
      </c>
      <c r="P329" s="150">
        <f t="shared" ref="P329:P331" ca="1" si="100">IF(M329&gt;0,N329*100/M329,0)</f>
        <v>91.826621923937367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833180</v>
      </c>
      <c r="M331" s="87">
        <f t="shared" ca="1" si="102"/>
        <v>447000</v>
      </c>
      <c r="N331" s="87">
        <f t="shared" ca="1" si="102"/>
        <v>410465</v>
      </c>
      <c r="O331" s="155">
        <f t="shared" ca="1" si="99"/>
        <v>49.26486473511126</v>
      </c>
      <c r="P331" s="155">
        <f t="shared" ca="1" si="100"/>
        <v>91.826621923937367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823180</v>
      </c>
      <c r="M333" s="167">
        <f ca="1">IFERROR(__xludf.DUMMYFUNCTION("IMPORTRANGE(""https://docs.google.com/spreadsheets/d/1Yj_ptqi66GCucihVvJfMjLAmec39IyEx_6qawtMGysU/edit?usp=sharing"",""สบก!DL30"")"),437000)</f>
        <v>437000</v>
      </c>
      <c r="N333" s="168">
        <f ca="1">IFERROR(__xludf.DUMMYFUNCTION("IMPORTRANGE(""https://docs.google.com/spreadsheets/d/1Yj_ptqi66GCucihVvJfMjLAmec39IyEx_6qawtMGysU/edit?usp=sharing"",""สบก!DM30"")"),400465)</f>
        <v>400465</v>
      </c>
      <c r="O333" s="168">
        <f ca="1">IF(L333&gt;0,N333*100/L333,0)</f>
        <v>48.648533735027577</v>
      </c>
      <c r="P333" s="168">
        <f ca="1">IF(M333&gt;0,N333*100/M333,0)</f>
        <v>91.639588100686495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IFERROR(__xludf.DUMMYFUNCTION("IMPORTRANGE(""https://docs.google.com/spreadsheets/d/1Yj_ptqi66GCucihVvJfMjLAmec39IyEx_6qawtMGysU/edit?usp=sharing"",""สบก!DH30"")"),491200)</f>
        <v>491200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IFERROR(__xludf.DUMMYFUNCTION("IMPORTRANGE(""https://docs.google.com/spreadsheets/d/1Yj_ptqi66GCucihVvJfMjLAmec39IyEx_6qawtMGysU/edit?usp=sharing"",""สบก!DI30"")"),331980)</f>
        <v>331980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IFERROR(__xludf.DUMMYFUNCTION("IMPORTRANGE(""https://docs.google.com/spreadsheets/d/1Yj_ptqi66GCucihVvJfMjLAmec39IyEx_6qawtMGysU/edit?usp=sharing"",""สบก!DJ30"")"),10000)</f>
        <v>10000</v>
      </c>
      <c r="M337" s="49">
        <f ca="1">L337</f>
        <v>10000</v>
      </c>
      <c r="N337" s="49">
        <f ca="1">IFERROR(__xludf.DUMMYFUNCTION("IMPORTRANGE(""https://docs.google.com/spreadsheets/d/1Yj_ptqi66GCucihVvJfMjLAmec39IyEx_6qawtMGysU/edit?usp=sharing"",""สบก!DN30"")"),10000)</f>
        <v>10000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IFERROR(__xludf.DUMMYFUNCTION("IMPORTRANGE(""https://docs.google.com/spreadsheets/d/11923uPwbBZFjjGgGUA6NLw09EwE0CqkOc4q9oUmW1yo/edit?usp=sharing"",""แพร่!I234"")"),0)</f>
        <v>0</v>
      </c>
      <c r="J339" s="187">
        <f ca="1">IFERROR(__xludf.DUMMYFUNCTION("IMPORTRANGE(""https://docs.google.com/spreadsheets/d/11923uPwbBZFjjGgGUA6NLw09EwE0CqkOc4q9oUmW1yo/edit?usp=sharing"",""แพร่!J234"")"),113)</f>
        <v>113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IFERROR(__xludf.DUMMYFUNCTION("IMPORTRANGE(""https://docs.google.com/spreadsheets/d/11923uPwbBZFjjGgGUA6NLw09EwE0CqkOc4q9oUmW1yo/edit?usp=sharing"",""แพร่!I235"")"),1300)</f>
        <v>1300</v>
      </c>
      <c r="J340" s="187">
        <f ca="1">IFERROR(__xludf.DUMMYFUNCTION("IMPORTRANGE(""https://docs.google.com/spreadsheets/d/11923uPwbBZFjjGgGUA6NLw09EwE0CqkOc4q9oUmW1yo/edit?usp=sharing"",""แพร่!J235"")"),775.06)</f>
        <v>775.06</v>
      </c>
      <c r="K340" s="340">
        <f t="shared" ca="1" si="103"/>
        <v>59.62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IFERROR(__xludf.DUMMYFUNCTION("IMPORTRANGE(""https://docs.google.com/spreadsheets/d/11923uPwbBZFjjGgGUA6NLw09EwE0CqkOc4q9oUmW1yo/edit?usp=sharing"",""แพร่!I236"")"),360)</f>
        <v>360</v>
      </c>
      <c r="J341" s="187">
        <f ca="1">IFERROR(__xludf.DUMMYFUNCTION("IMPORTRANGE(""https://docs.google.com/spreadsheets/d/11923uPwbBZFjjGgGUA6NLw09EwE0CqkOc4q9oUmW1yo/edit?usp=sharing"",""แพร่!J236"")"),275)</f>
        <v>275</v>
      </c>
      <c r="K341" s="340">
        <f t="shared" ca="1" si="103"/>
        <v>76.388888888888886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IFERROR(__xludf.DUMMYFUNCTION("IMPORTRANGE(""https://docs.google.com/spreadsheets/d/11923uPwbBZFjjGgGUA6NLw09EwE0CqkOc4q9oUmW1yo/edit?usp=sharing"",""แพร่!I237"")"),0)</f>
        <v>0</v>
      </c>
      <c r="J342" s="187">
        <f ca="1">IFERROR(__xludf.DUMMYFUNCTION("IMPORTRANGE(""https://docs.google.com/spreadsheets/d/11923uPwbBZFjjGgGUA6NLw09EwE0CqkOc4q9oUmW1yo/edit?usp=sharing"",""แพร่!J237"")"),2426.64)</f>
        <v>2426.64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IFERROR(__xludf.DUMMYFUNCTION("IMPORTRANGE(""https://docs.google.com/spreadsheets/d/11923uPwbBZFjjGgGUA6NLw09EwE0CqkOc4q9oUmW1yo/edit?usp=sharing"",""แพร่!I238"")"),360)</f>
        <v>360</v>
      </c>
      <c r="J343" s="187">
        <f ca="1">IFERROR(__xludf.DUMMYFUNCTION("IMPORTRANGE(""https://docs.google.com/spreadsheets/d/11923uPwbBZFjjGgGUA6NLw09EwE0CqkOc4q9oUmW1yo/edit?usp=sharing"",""แพร่!J238"")"),0)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IFERROR(__xludf.DUMMYFUNCTION("IMPORTRANGE(""https://docs.google.com/spreadsheets/d/11923uPwbBZFjjGgGUA6NLw09EwE0CqkOc4q9oUmW1yo/edit?usp=sharing"",""แพร่!I239"")"),0)</f>
        <v>0</v>
      </c>
      <c r="J344" s="187">
        <f ca="1">IFERROR(__xludf.DUMMYFUNCTION("IMPORTRANGE(""https://docs.google.com/spreadsheets/d/11923uPwbBZFjjGgGUA6NLw09EwE0CqkOc4q9oUmW1yo/edit?usp=sharing"",""แพร่!J239"")"),0)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IFERROR(__xludf.DUMMYFUNCTION("IMPORTRANGE(""https://docs.google.com/spreadsheets/d/11923uPwbBZFjjGgGUA6NLw09EwE0CqkOc4q9oUmW1yo/edit?usp=sharing"",""แพร่!I240"")"),360)</f>
        <v>360</v>
      </c>
      <c r="J345" s="187">
        <f ca="1">IFERROR(__xludf.DUMMYFUNCTION("IMPORTRANGE(""https://docs.google.com/spreadsheets/d/11923uPwbBZFjjGgGUA6NLw09EwE0CqkOc4q9oUmW1yo/edit?usp=sharing"",""แพร่!J240"")"),235)</f>
        <v>235</v>
      </c>
      <c r="K345" s="340">
        <f t="shared" ca="1" si="103"/>
        <v>65.277777777777771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IFERROR(__xludf.DUMMYFUNCTION("IMPORTRANGE(""https://docs.google.com/spreadsheets/d/11923uPwbBZFjjGgGUA6NLw09EwE0CqkOc4q9oUmW1yo/edit?usp=sharing"",""แพร่!I241"")"),0)</f>
        <v>0</v>
      </c>
      <c r="J346" s="187">
        <f ca="1">IFERROR(__xludf.DUMMYFUNCTION("IMPORTRANGE(""https://docs.google.com/spreadsheets/d/11923uPwbBZFjjGgGUA6NLw09EwE0CqkOc4q9oUmW1yo/edit?usp=sharing"",""แพร่!J241"")"),2142.81)</f>
        <v>2142.81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IFERROR(__xludf.DUMMYFUNCTION("IMPORTRANGE(""https://docs.google.com/spreadsheets/d/11923uPwbBZFjjGgGUA6NLw09EwE0CqkOc4q9oUmW1yo/edit?usp=sharing"",""แพร่!L242"")"),1863960)</f>
        <v>1863960</v>
      </c>
      <c r="M347" s="356"/>
      <c r="N347" s="356">
        <f ca="1">IFERROR(__xludf.DUMMYFUNCTION("IMPORTRANGE(""https://docs.google.com/spreadsheets/d/11923uPwbBZFjjGgGUA6NLw09EwE0CqkOc4q9oUmW1yo/edit?usp=sharing"",""แพร่!M242"")"),557615.4)</f>
        <v>557615.4</v>
      </c>
      <c r="O347" s="356">
        <f ca="1">+IF(L347&gt;0,N347*100/L347,0)</f>
        <v>29.915631236721818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IFERROR(__xludf.DUMMYFUNCTION("IMPORTRANGE(""https://docs.google.com/spreadsheets/d/11923uPwbBZFjjGgGUA6NLw09EwE0CqkOc4q9oUmW1yo/edit?usp=sharing"",""แพร่!I244"")"),90)</f>
        <v>90</v>
      </c>
      <c r="J349" s="369">
        <f ca="1">IFERROR(__xludf.DUMMYFUNCTION("IMPORTRANGE(""https://docs.google.com/spreadsheets/d/11923uPwbBZFjjGgGUA6NLw09EwE0CqkOc4q9oUmW1yo/edit?usp=sharing"",""แพร่!J244"")"),90)</f>
        <v>90</v>
      </c>
      <c r="K349" s="370">
        <f t="shared" ref="K349:K350" ca="1" si="104">IF(I349&gt;0,J349*100/I349,0)</f>
        <v>100</v>
      </c>
      <c r="L349" s="371">
        <f ca="1">IFERROR(__xludf.DUMMYFUNCTION("IMPORTRANGE(""https://docs.google.com/spreadsheets/d/11923uPwbBZFjjGgGUA6NLw09EwE0CqkOc4q9oUmW1yo/edit?usp=sharing"",""แพร่!L244"")"),348030)</f>
        <v>348030</v>
      </c>
      <c r="M349" s="371"/>
      <c r="N349" s="371">
        <f ca="1">IFERROR(__xludf.DUMMYFUNCTION("IMPORTRANGE(""https://docs.google.com/spreadsheets/d/11923uPwbBZFjjGgGUA6NLw09EwE0CqkOc4q9oUmW1yo/edit?usp=sharing"",""แพร่!M244"")"),202060)</f>
        <v>202060</v>
      </c>
      <c r="O349" s="371">
        <f ca="1">+IF(L349&gt;0,N349*100/L349,0)</f>
        <v>58.058213372410421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IFERROR(__xludf.DUMMYFUNCTION("IMPORTRANGE(""https://docs.google.com/spreadsheets/d/11923uPwbBZFjjGgGUA6NLw09EwE0CqkOc4q9oUmW1yo/edit?usp=sharing"",""แพร่!I245"")"),55)</f>
        <v>55</v>
      </c>
      <c r="J350" s="369">
        <f ca="1">IFERROR(__xludf.DUMMYFUNCTION("IMPORTRANGE(""https://docs.google.com/spreadsheets/d/11923uPwbBZFjjGgGUA6NLw09EwE0CqkOc4q9oUmW1yo/edit?usp=sharing"",""แพร่!J245"")"),0)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IFERROR(__xludf.DUMMYFUNCTION("IMPORTRANGE(""https://docs.google.com/spreadsheets/d/11923uPwbBZFjjGgGUA6NLw09EwE0CqkOc4q9oUmW1yo/edit?usp=sharing"",""แพร่!L246"")"),0)</f>
        <v>0</v>
      </c>
      <c r="M351" s="164"/>
      <c r="N351" s="164">
        <f ca="1">IFERROR(__xludf.DUMMYFUNCTION("IMPORTRANGE(""https://docs.google.com/spreadsheets/d/11923uPwbBZFjjGgGUA6NLw09EwE0CqkOc4q9oUmW1yo/edit?usp=sharing"",""แพร่!M246"")"),0)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IFERROR(__xludf.DUMMYFUNCTION("IMPORTRANGE(""https://docs.google.com/spreadsheets/d/11923uPwbBZFjjGgGUA6NLw09EwE0CqkOc4q9oUmW1yo/edit?usp=sharing"",""แพร่!L247"")"),348030)</f>
        <v>348030</v>
      </c>
      <c r="M352" s="165"/>
      <c r="N352" s="164">
        <f ca="1">IFERROR(__xludf.DUMMYFUNCTION("IMPORTRANGE(""https://docs.google.com/spreadsheets/d/11923uPwbBZFjjGgGUA6NLw09EwE0CqkOc4q9oUmW1yo/edit?usp=sharing"",""แพร่!M247"")"),202060)</f>
        <v>202060</v>
      </c>
      <c r="O352" s="165">
        <f t="shared" ca="1" si="105"/>
        <v>58.058213372410421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IFERROR(__xludf.DUMMYFUNCTION("IMPORTRANGE(""https://docs.google.com/spreadsheets/d/11923uPwbBZFjjGgGUA6NLw09EwE0CqkOc4q9oUmW1yo/edit?usp=sharing"",""แพร่!L248"")"),0)</f>
        <v>0</v>
      </c>
      <c r="M353" s="168"/>
      <c r="N353" s="168">
        <f ca="1">IFERROR(__xludf.DUMMYFUNCTION("IMPORTRANGE(""https://docs.google.com/spreadsheets/d/11923uPwbBZFjjGgGUA6NLw09EwE0CqkOc4q9oUmW1yo/edit?usp=sharing"",""แพร่!M248"")"),0)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IFERROR(__xludf.DUMMYFUNCTION("IMPORTRANGE(""https://docs.google.com/spreadsheets/d/11923uPwbBZFjjGgGUA6NLw09EwE0CqkOc4q9oUmW1yo/edit?usp=sharing"",""แพร่!L249"")"),348030)</f>
        <v>348030</v>
      </c>
      <c r="M354" s="168"/>
      <c r="N354" s="167">
        <f ca="1">IFERROR(__xludf.DUMMYFUNCTION("IMPORTRANGE(""https://docs.google.com/spreadsheets/d/11923uPwbBZFjjGgGUA6NLw09EwE0CqkOc4q9oUmW1yo/edit?usp=sharing"",""แพร่!M249"")"),202060)</f>
        <v>202060</v>
      </c>
      <c r="O354" s="168">
        <f t="shared" ca="1" si="105"/>
        <v>58.058213372410421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IFERROR(__xludf.DUMMYFUNCTION("IMPORTRANGE(""https://docs.google.com/spreadsheets/d/11923uPwbBZFjjGgGUA6NLw09EwE0CqkOc4q9oUmW1yo/edit?usp=sharing"",""แพร่!M250"")"),51355)</f>
        <v>51355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IFERROR(__xludf.DUMMYFUNCTION("IMPORTRANGE(""https://docs.google.com/spreadsheets/d/11923uPwbBZFjjGgGUA6NLw09EwE0CqkOc4q9oUmW1yo/edit?usp=sharing"",""แพร่!M251"")"),100000)</f>
        <v>100000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IFERROR(__xludf.DUMMYFUNCTION("IMPORTRANGE(""https://docs.google.com/spreadsheets/d/11923uPwbBZFjjGgGUA6NLw09EwE0CqkOc4q9oUmW1yo/edit?usp=sharing"",""แพร่!M252"")"),44000)</f>
        <v>44000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IFERROR(__xludf.DUMMYFUNCTION("IMPORTRANGE(""https://docs.google.com/spreadsheets/d/11923uPwbBZFjjGgGUA6NLw09EwE0CqkOc4q9oUmW1yo/edit?usp=sharing"",""แพร่!M253"")"),6705)</f>
        <v>6705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IFERROR(__xludf.DUMMYFUNCTION("IMPORTRANGE(""https://docs.google.com/spreadsheets/d/11923uPwbBZFjjGgGUA6NLw09EwE0CqkOc4q9oUmW1yo/edit?usp=sharing"",""แพร่!J255"")"),0)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IFERROR(__xludf.DUMMYFUNCTION("IMPORTRANGE(""https://docs.google.com/spreadsheets/d/11923uPwbBZFjjGgGUA6NLw09EwE0CqkOc4q9oUmW1yo/edit?usp=sharing"",""แพร่!J256"")"),1)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IFERROR(__xludf.DUMMYFUNCTION("IMPORTRANGE(""https://docs.google.com/spreadsheets/d/11923uPwbBZFjjGgGUA6NLw09EwE0CqkOc4q9oUmW1yo/edit?usp=sharing"",""แพร่!J257"")"),1)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IFERROR(__xludf.DUMMYFUNCTION("IMPORTRANGE(""https://docs.google.com/spreadsheets/d/11923uPwbBZFjjGgGUA6NLw09EwE0CqkOc4q9oUmW1yo/edit?usp=sharing"",""แพร่!J258"")"),1)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IFERROR(__xludf.DUMMYFUNCTION("IMPORTRANGE(""https://docs.google.com/spreadsheets/d/11923uPwbBZFjjGgGUA6NLw09EwE0CqkOc4q9oUmW1yo/edit?usp=sharing"",""แพร่!J166"")"),0)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IFERROR(__xludf.DUMMYFUNCTION("IMPORTRANGE(""https://docs.google.com/spreadsheets/d/11923uPwbBZFjjGgGUA6NLw09EwE0CqkOc4q9oUmW1yo/edit?usp=sharing"",""แพร่!J166"")"),0)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IFERROR(__xludf.DUMMYFUNCTION("IMPORTRANGE(""https://docs.google.com/spreadsheets/d/11923uPwbBZFjjGgGUA6NLw09EwE0CqkOc4q9oUmW1yo/edit?usp=sharing"",""แพร่!J166"")"),0)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IFERROR(__xludf.DUMMYFUNCTION("IMPORTRANGE(""https://docs.google.com/spreadsheets/d/11923uPwbBZFjjGgGUA6NLw09EwE0CqkOc4q9oUmW1yo/edit?usp=sharing"",""แพร่!J166"")"),0)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IFERROR(__xludf.DUMMYFUNCTION("IMPORTRANGE(""https://docs.google.com/spreadsheets/d/11923uPwbBZFjjGgGUA6NLw09EwE0CqkOc4q9oUmW1yo/edit?usp=sharing"",""แพร่!I263"")"),55)</f>
        <v>55</v>
      </c>
      <c r="J368" s="187">
        <f ca="1">IFERROR(__xludf.DUMMYFUNCTION("IMPORTRANGE(""https://docs.google.com/spreadsheets/d/11923uPwbBZFjjGgGUA6NLw09EwE0CqkOc4q9oUmW1yo/edit?usp=sharing"",""แพร่!J263"")"),0)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IFERROR(__xludf.DUMMYFUNCTION("IMPORTRANGE(""https://docs.google.com/spreadsheets/d/11923uPwbBZFjjGgGUA6NLw09EwE0CqkOc4q9oUmW1yo/edit?usp=sharing"",""แพร่!I164"")"),0)</f>
        <v>0</v>
      </c>
      <c r="J369" s="203">
        <f ca="1">IFERROR(__xludf.DUMMYFUNCTION("IMPORTRANGE(""https://docs.google.com/spreadsheets/d/11923uPwbBZFjjGgGUA6NLw09EwE0CqkOc4q9oUmW1yo/edit?usp=sharing"",""แพร่!J164"")"),0)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IFERROR(__xludf.DUMMYFUNCTION("IMPORTRANGE(""https://docs.google.com/spreadsheets/d/11923uPwbBZFjjGgGUA6NLw09EwE0CqkOc4q9oUmW1yo/edit?usp=sharing"",""แพร่!I265"")"),55)</f>
        <v>55</v>
      </c>
      <c r="J370" s="203">
        <f ca="1">IFERROR(__xludf.DUMMYFUNCTION("IMPORTRANGE(""https://docs.google.com/spreadsheets/d/11923uPwbBZFjjGgGUA6NLw09EwE0CqkOc4q9oUmW1yo/edit?usp=sharing"",""แพร่!J265"")"),55)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IFERROR(__xludf.DUMMYFUNCTION("IMPORTRANGE(""https://docs.google.com/spreadsheets/d/11923uPwbBZFjjGgGUA6NLw09EwE0CqkOc4q9oUmW1yo/edit?usp=sharing"",""แพร่!I164"")"),0)</f>
        <v>0</v>
      </c>
      <c r="J371" s="188">
        <f ca="1">IFERROR(__xludf.DUMMYFUNCTION("IMPORTRANGE(""https://docs.google.com/spreadsheets/d/11923uPwbBZFjjGgGUA6NLw09EwE0CqkOc4q9oUmW1yo/edit?usp=sharing"",""แพร่!J164"")"),0)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IFERROR(__xludf.DUMMYFUNCTION("IMPORTRANGE(""https://docs.google.com/spreadsheets/d/11923uPwbBZFjjGgGUA6NLw09EwE0CqkOc4q9oUmW1yo/edit?usp=sharing"",""แพร่!I267"")"),55)</f>
        <v>55</v>
      </c>
      <c r="J372" s="188">
        <f ca="1">IFERROR(__xludf.DUMMYFUNCTION("IMPORTRANGE(""https://docs.google.com/spreadsheets/d/11923uPwbBZFjjGgGUA6NLw09EwE0CqkOc4q9oUmW1yo/edit?usp=sharing"",""แพร่!J267"")"),0)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IFERROR(__xludf.DUMMYFUNCTION("IMPORTRANGE(""https://docs.google.com/spreadsheets/d/11923uPwbBZFjjGgGUA6NLw09EwE0CqkOc4q9oUmW1yo/edit?usp=sharing"",""แพร่!I164"")"),0)</f>
        <v>0</v>
      </c>
      <c r="J373" s="203">
        <f ca="1">IFERROR(__xludf.DUMMYFUNCTION("IMPORTRANGE(""https://docs.google.com/spreadsheets/d/11923uPwbBZFjjGgGUA6NLw09EwE0CqkOc4q9oUmW1yo/edit?usp=sharing"",""แพร่!J164"")"),0)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IFERROR(__xludf.DUMMYFUNCTION("IMPORTRANGE(""https://docs.google.com/spreadsheets/d/11923uPwbBZFjjGgGUA6NLw09EwE0CqkOc4q9oUmW1yo/edit?usp=sharing"",""แพร่!I164"")"),0)</f>
        <v>0</v>
      </c>
      <c r="J374" s="187">
        <f ca="1">IFERROR(__xludf.DUMMYFUNCTION("IMPORTRANGE(""https://docs.google.com/spreadsheets/d/11923uPwbBZFjjGgGUA6NLw09EwE0CqkOc4q9oUmW1yo/edit?usp=sharing"",""แพร่!J164"")"),0)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IFERROR(__xludf.DUMMYFUNCTION("IMPORTRANGE(""https://docs.google.com/spreadsheets/d/11923uPwbBZFjjGgGUA6NLw09EwE0CqkOc4q9oUmW1yo/edit?usp=sharing"",""แพร่!I270"")"),90)</f>
        <v>90</v>
      </c>
      <c r="J375" s="187">
        <f ca="1">IFERROR(__xludf.DUMMYFUNCTION("IMPORTRANGE(""https://docs.google.com/spreadsheets/d/11923uPwbBZFjjGgGUA6NLw09EwE0CqkOc4q9oUmW1yo/edit?usp=sharing"",""แพร่!J270"")"),90)</f>
        <v>90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IFERROR(__xludf.DUMMYFUNCTION("IMPORTRANGE(""https://docs.google.com/spreadsheets/d/11923uPwbBZFjjGgGUA6NLw09EwE0CqkOc4q9oUmW1yo/edit?usp=sharing"",""แพร่!I271"")"),50)</f>
        <v>50</v>
      </c>
      <c r="J376" s="188">
        <f ca="1">IFERROR(__xludf.DUMMYFUNCTION("IMPORTRANGE(""https://docs.google.com/spreadsheets/d/11923uPwbBZFjjGgGUA6NLw09EwE0CqkOc4q9oUmW1yo/edit?usp=sharing"",""แพร่!J271"")"),50)</f>
        <v>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IFERROR(__xludf.DUMMYFUNCTION("IMPORTRANGE(""https://docs.google.com/spreadsheets/d/11923uPwbBZFjjGgGUA6NLw09EwE0CqkOc4q9oUmW1yo/edit?usp=sharing"",""แพร่!I272"")"),40)</f>
        <v>40</v>
      </c>
      <c r="J377" s="203">
        <f ca="1">IFERROR(__xludf.DUMMYFUNCTION("IMPORTRANGE(""https://docs.google.com/spreadsheets/d/11923uPwbBZFjjGgGUA6NLw09EwE0CqkOc4q9oUmW1yo/edit?usp=sharing"",""แพร่!J272"")"),40)</f>
        <v>40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IFERROR(__xludf.DUMMYFUNCTION("IMPORTRANGE(""https://docs.google.com/spreadsheets/d/11923uPwbBZFjjGgGUA6NLw09EwE0CqkOc4q9oUmW1yo/edit?usp=sharing"",""แพร่!J273"")"),0)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IFERROR(__xludf.DUMMYFUNCTION("IMPORTRANGE(""https://docs.google.com/spreadsheets/d/11923uPwbBZFjjGgGUA6NLw09EwE0CqkOc4q9oUmW1yo/edit?usp=sharing"",""แพร่!J274"")"),0)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IFERROR(__xludf.DUMMYFUNCTION("IMPORTRANGE(""https://docs.google.com/spreadsheets/d/11923uPwbBZFjjGgGUA6NLw09EwE0CqkOc4q9oUmW1yo/edit?usp=sharing"",""แพร่!I275"")"),1000)</f>
        <v>1000</v>
      </c>
      <c r="J380" s="369">
        <f ca="1">IFERROR(__xludf.DUMMYFUNCTION("IMPORTRANGE(""https://docs.google.com/spreadsheets/d/11923uPwbBZFjjGgGUA6NLw09EwE0CqkOc4q9oUmW1yo/edit?usp=sharing"",""แพร่!J275"")"),0)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IFERROR(__xludf.DUMMYFUNCTION("IMPORTRANGE(""https://docs.google.com/spreadsheets/d/11923uPwbBZFjjGgGUA6NLw09EwE0CqkOc4q9oUmW1yo/edit?usp=sharing"",""แพร่!L275"")"),1028520)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IFERROR(__xludf.DUMMYFUNCTION("IMPORTRANGE(""https://docs.google.com/spreadsheets/d/11923uPwbBZFjjGgGUA6NLw09EwE0CqkOc4q9oUmW1yo/edit?usp=sharing"",""แพร่!M275"")"),191396)</f>
        <v>191396</v>
      </c>
      <c r="O380" s="371">
        <f ca="1">+IF(L380&gt;0,N380*100/L380,0)</f>
        <v>18.608874888188854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IFERROR(__xludf.DUMMYFUNCTION("IMPORTRANGE(""https://docs.google.com/spreadsheets/d/11923uPwbBZFjjGgGUA6NLw09EwE0CqkOc4q9oUmW1yo/edit?usp=sharing"",""แพร่!I276"")"),100)</f>
        <v>100</v>
      </c>
      <c r="J381" s="369">
        <f ca="1">IFERROR(__xludf.DUMMYFUNCTION("IMPORTRANGE(""https://docs.google.com/spreadsheets/d/11923uPwbBZFjjGgGUA6NLw09EwE0CqkOc4q9oUmW1yo/edit?usp=sharing"",""แพร่!J276"")"),50)</f>
        <v>50</v>
      </c>
      <c r="K381" s="370">
        <f t="shared" ca="1" si="108"/>
        <v>50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IFERROR(__xludf.DUMMYFUNCTION("IMPORTRANGE(""https://docs.google.com/spreadsheets/d/11923uPwbBZFjjGgGUA6NLw09EwE0CqkOc4q9oUmW1yo/edit?usp=sharing"",""แพร่!L277"")"),0)</f>
        <v>0</v>
      </c>
      <c r="M382" s="164"/>
      <c r="N382" s="164">
        <f ca="1">IFERROR(__xludf.DUMMYFUNCTION("IMPORTRANGE(""https://docs.google.com/spreadsheets/d/11923uPwbBZFjjGgGUA6NLw09EwE0CqkOc4q9oUmW1yo/edit?usp=sharing"",""แพร่!M277"")"),0)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IFERROR(__xludf.DUMMYFUNCTION("IMPORTRANGE(""https://docs.google.com/spreadsheets/d/11923uPwbBZFjjGgGUA6NLw09EwE0CqkOc4q9oUmW1yo/edit?usp=sharing"",""แพร่!L278"")"),1028520)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IFERROR(__xludf.DUMMYFUNCTION("IMPORTRANGE(""https://docs.google.com/spreadsheets/d/11923uPwbBZFjjGgGUA6NLw09EwE0CqkOc4q9oUmW1yo/edit?usp=sharing"",""แพร่!M278"")"),191396)</f>
        <v>191396</v>
      </c>
      <c r="O383" s="165">
        <f t="shared" ca="1" si="109"/>
        <v>18.608874888188854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IFERROR(__xludf.DUMMYFUNCTION("IMPORTRANGE(""https://docs.google.com/spreadsheets/d/11923uPwbBZFjjGgGUA6NLw09EwE0CqkOc4q9oUmW1yo/edit?usp=sharing"",""แพร่!L279"")"),0)</f>
        <v>0</v>
      </c>
      <c r="M384" s="168"/>
      <c r="N384" s="168">
        <f ca="1">IFERROR(__xludf.DUMMYFUNCTION("IMPORTRANGE(""https://docs.google.com/spreadsheets/d/11923uPwbBZFjjGgGUA6NLw09EwE0CqkOc4q9oUmW1yo/edit?usp=sharing"",""แพร่!M279"")"),0)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IFERROR(__xludf.DUMMYFUNCTION("IMPORTRANGE(""https://docs.google.com/spreadsheets/d/11923uPwbBZFjjGgGUA6NLw09EwE0CqkOc4q9oUmW1yo/edit?usp=sharing"",""แพร่!L280"")"),1028520)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IFERROR(__xludf.DUMMYFUNCTION("IMPORTRANGE(""https://docs.google.com/spreadsheets/d/11923uPwbBZFjjGgGUA6NLw09EwE0CqkOc4q9oUmW1yo/edit?usp=sharing"",""แพร่!M280"")"),191396)</f>
        <v>191396</v>
      </c>
      <c r="O385" s="168">
        <f t="shared" ca="1" si="109"/>
        <v>18.608874888188854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IFERROR(__xludf.DUMMYFUNCTION("IMPORTRANGE(""https://docs.google.com/spreadsheets/d/11923uPwbBZFjjGgGUA6NLw09EwE0CqkOc4q9oUmW1yo/edit?usp=sharing"",""แพร่!M281"")"),139476)</f>
        <v>139476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IFERROR(__xludf.DUMMYFUNCTION("IMPORTRANGE(""https://docs.google.com/spreadsheets/d/11923uPwbBZFjjGgGUA6NLw09EwE0CqkOc4q9oUmW1yo/edit?usp=sharing"",""แพร่!M282"")"),0)</f>
        <v>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IFERROR(__xludf.DUMMYFUNCTION("IMPORTRANGE(""https://docs.google.com/spreadsheets/d/11923uPwbBZFjjGgGUA6NLw09EwE0CqkOc4q9oUmW1yo/edit?usp=sharing"",""แพร่!M283"")"),44000)</f>
        <v>44000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IFERROR(__xludf.DUMMYFUNCTION("IMPORTRANGE(""https://docs.google.com/spreadsheets/d/11923uPwbBZFjjGgGUA6NLw09EwE0CqkOc4q9oUmW1yo/edit?usp=sharing"",""แพร่!M284"")"),7920)</f>
        <v>7920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IFERROR(__xludf.DUMMYFUNCTION("IMPORTRANGE(""https://docs.google.com/spreadsheets/d/11923uPwbBZFjjGgGUA6NLw09EwE0CqkOc4q9oUmW1yo/edit?usp=sharing"",""แพร่!J286"")"),0)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IFERROR(__xludf.DUMMYFUNCTION("IMPORTRANGE(""https://docs.google.com/spreadsheets/d/11923uPwbBZFjjGgGUA6NLw09EwE0CqkOc4q9oUmW1yo/edit?usp=sharing"",""แพร่!J287"")"),1)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IFERROR(__xludf.DUMMYFUNCTION("IMPORTRANGE(""https://docs.google.com/spreadsheets/d/11923uPwbBZFjjGgGUA6NLw09EwE0CqkOc4q9oUmW1yo/edit?usp=sharing"",""แพร่!J288"")"),1)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IFERROR(__xludf.DUMMYFUNCTION("IMPORTRANGE(""https://docs.google.com/spreadsheets/d/11923uPwbBZFjjGgGUA6NLw09EwE0CqkOc4q9oUmW1yo/edit?usp=sharing"",""แพร่!J289"")"),1)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IFERROR(__xludf.DUMMYFUNCTION("IMPORTRANGE(""https://docs.google.com/spreadsheets/d/11923uPwbBZFjjGgGUA6NLw09EwE0CqkOc4q9oUmW1yo/edit?usp=sharing"",""แพร่!I291"")"),100)</f>
        <v>100</v>
      </c>
      <c r="J396" s="197">
        <f ca="1">IFERROR(__xludf.DUMMYFUNCTION("IMPORTRANGE(""https://docs.google.com/spreadsheets/d/11923uPwbBZFjjGgGUA6NLw09EwE0CqkOc4q9oUmW1yo/edit?usp=sharing"",""แพร่!J291"")"),50)</f>
        <v>50</v>
      </c>
      <c r="K396" s="163">
        <f t="shared" ref="K396:K398" ca="1" si="110">IF(I396&gt;0,J396*100/I396,0)</f>
        <v>50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IFERROR(__xludf.DUMMYFUNCTION("IMPORTRANGE(""https://docs.google.com/spreadsheets/d/11923uPwbBZFjjGgGUA6NLw09EwE0CqkOc4q9oUmW1yo/edit?usp=sharing"",""แพร่!I292"")"),1000)</f>
        <v>1000</v>
      </c>
      <c r="J397" s="197">
        <f ca="1">IFERROR(__xludf.DUMMYFUNCTION("IMPORTRANGE(""https://docs.google.com/spreadsheets/d/11923uPwbBZFjjGgGUA6NLw09EwE0CqkOc4q9oUmW1yo/edit?usp=sharing"",""แพร่!J292"")"),0)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IFERROR(__xludf.DUMMYFUNCTION("IMPORTRANGE(""https://docs.google.com/spreadsheets/d/11923uPwbBZFjjGgGUA6NLw09EwE0CqkOc4q9oUmW1yo/edit?usp=sharing"",""แพร่!I293"")"),100)</f>
        <v>100</v>
      </c>
      <c r="J398" s="197">
        <f ca="1">IFERROR(__xludf.DUMMYFUNCTION("IMPORTRANGE(""https://docs.google.com/spreadsheets/d/11923uPwbBZFjjGgGUA6NLw09EwE0CqkOc4q9oUmW1yo/edit?usp=sharing"",""แพร่!J293"")"),0)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IFERROR(__xludf.DUMMYFUNCTION("IMPORTRANGE(""https://docs.google.com/spreadsheets/d/11923uPwbBZFjjGgGUA6NLw09EwE0CqkOc4q9oUmW1yo/edit?usp=sharing"",""แพร่!J294"")"),0)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IFERROR(__xludf.DUMMYFUNCTION("IMPORTRANGE(""https://docs.google.com/spreadsheets/d/11923uPwbBZFjjGgGUA6NLw09EwE0CqkOc4q9oUmW1yo/edit?usp=sharing"",""แพร่!J295"")"),0)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IFERROR(__xludf.DUMMYFUNCTION("IMPORTRANGE(""https://docs.google.com/spreadsheets/d/11923uPwbBZFjjGgGUA6NLw09EwE0CqkOc4q9oUmW1yo/edit?usp=sharing"",""แพร่!I296"")"),120)</f>
        <v>120</v>
      </c>
      <c r="J401" s="369">
        <f ca="1">IFERROR(__xludf.DUMMYFUNCTION("IMPORTRANGE(""https://docs.google.com/spreadsheets/d/11923uPwbBZFjjGgGUA6NLw09EwE0CqkOc4q9oUmW1yo/edit?usp=sharing"",""แพร่!J296"")"),120)</f>
        <v>120</v>
      </c>
      <c r="K401" s="370">
        <f t="shared" ref="K401:K402" ca="1" si="111">IF(I401&gt;0,J401*100/I401,0)</f>
        <v>100</v>
      </c>
      <c r="L401" s="371">
        <f ca="1">IFERROR(__xludf.DUMMYFUNCTION("IMPORTRANGE(""https://docs.google.com/spreadsheets/d/11923uPwbBZFjjGgGUA6NLw09EwE0CqkOc4q9oUmW1yo/edit?usp=sharing"",""แพร่!L296"")"),135020)</f>
        <v>135020</v>
      </c>
      <c r="M401" s="371"/>
      <c r="N401" s="371">
        <f ca="1">IFERROR(__xludf.DUMMYFUNCTION("IMPORTRANGE(""https://docs.google.com/spreadsheets/d/11923uPwbBZFjjGgGUA6NLw09EwE0CqkOc4q9oUmW1yo/edit?usp=sharing"",""แพร่!M296"")"),37280)</f>
        <v>37280</v>
      </c>
      <c r="O401" s="371">
        <f ca="1">+IF(L401&gt;0,N401*100/L401,0)</f>
        <v>27.610724337135238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IFERROR(__xludf.DUMMYFUNCTION("IMPORTRANGE(""https://docs.google.com/spreadsheets/d/11923uPwbBZFjjGgGUA6NLw09EwE0CqkOc4q9oUmW1yo/edit?usp=sharing"",""แพร่!I297"")"),40)</f>
        <v>40</v>
      </c>
      <c r="J402" s="369">
        <f ca="1">IFERROR(__xludf.DUMMYFUNCTION("IMPORTRANGE(""https://docs.google.com/spreadsheets/d/11923uPwbBZFjjGgGUA6NLw09EwE0CqkOc4q9oUmW1yo/edit?usp=sharing"",""แพร่!J297"")"),10)</f>
        <v>10</v>
      </c>
      <c r="K402" s="370">
        <f t="shared" ca="1" si="111"/>
        <v>25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IFERROR(__xludf.DUMMYFUNCTION("IMPORTRANGE(""https://docs.google.com/spreadsheets/d/11923uPwbBZFjjGgGUA6NLw09EwE0CqkOc4q9oUmW1yo/edit?usp=sharing"",""แพร่!L298"")"),0)</f>
        <v>0</v>
      </c>
      <c r="M403" s="164"/>
      <c r="N403" s="168">
        <f ca="1">IFERROR(__xludf.DUMMYFUNCTION("IMPORTRANGE(""https://docs.google.com/spreadsheets/d/11923uPwbBZFjjGgGUA6NLw09EwE0CqkOc4q9oUmW1yo/edit?usp=sharing"",""แพร่!M298"")"),0)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IFERROR(__xludf.DUMMYFUNCTION("IMPORTRANGE(""https://docs.google.com/spreadsheets/d/11923uPwbBZFjjGgGUA6NLw09EwE0CqkOc4q9oUmW1yo/edit?usp=sharing"",""แพร่!L299"")"),135020)</f>
        <v>135020</v>
      </c>
      <c r="M404" s="165"/>
      <c r="N404" s="168">
        <f ca="1">IFERROR(__xludf.DUMMYFUNCTION("IMPORTRANGE(""https://docs.google.com/spreadsheets/d/11923uPwbBZFjjGgGUA6NLw09EwE0CqkOc4q9oUmW1yo/edit?usp=sharing"",""แพร่!M299"")"),37280)</f>
        <v>37280</v>
      </c>
      <c r="O404" s="168">
        <f t="shared" ca="1" si="112"/>
        <v>27.610724337135238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IFERROR(__xludf.DUMMYFUNCTION("IMPORTRANGE(""https://docs.google.com/spreadsheets/d/11923uPwbBZFjjGgGUA6NLw09EwE0CqkOc4q9oUmW1yo/edit?usp=sharing"",""แพร่!L300"")"),0)</f>
        <v>0</v>
      </c>
      <c r="M405" s="168"/>
      <c r="N405" s="168">
        <f ca="1">IFERROR(__xludf.DUMMYFUNCTION("IMPORTRANGE(""https://docs.google.com/spreadsheets/d/11923uPwbBZFjjGgGUA6NLw09EwE0CqkOc4q9oUmW1yo/edit?usp=sharing"",""แพร่!M300"")"),0)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IFERROR(__xludf.DUMMYFUNCTION("IMPORTRANGE(""https://docs.google.com/spreadsheets/d/11923uPwbBZFjjGgGUA6NLw09EwE0CqkOc4q9oUmW1yo/edit?usp=sharing"",""แพร่!L301"")"),135020)</f>
        <v>135020</v>
      </c>
      <c r="M406" s="168"/>
      <c r="N406" s="168">
        <f ca="1">IFERROR(__xludf.DUMMYFUNCTION("IMPORTRANGE(""https://docs.google.com/spreadsheets/d/11923uPwbBZFjjGgGUA6NLw09EwE0CqkOc4q9oUmW1yo/edit?usp=sharing"",""แพร่!M301"")"),37280)</f>
        <v>37280</v>
      </c>
      <c r="O406" s="168">
        <f t="shared" ca="1" si="112"/>
        <v>27.610724337135238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IFERROR(__xludf.DUMMYFUNCTION("IMPORTRANGE(""https://docs.google.com/spreadsheets/d/11923uPwbBZFjjGgGUA6NLw09EwE0CqkOc4q9oUmW1yo/edit?usp=sharing"",""แพร่!M302"")"),37280)</f>
        <v>37280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IFERROR(__xludf.DUMMYFUNCTION("IMPORTRANGE(""https://docs.google.com/spreadsheets/d/11923uPwbBZFjjGgGUA6NLw09EwE0CqkOc4q9oUmW1yo/edit?usp=sharing"",""แพร่!M303"")"),0)</f>
        <v>0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IFERROR(__xludf.DUMMYFUNCTION("IMPORTRANGE(""https://docs.google.com/spreadsheets/d/11923uPwbBZFjjGgGUA6NLw09EwE0CqkOc4q9oUmW1yo/edit?usp=sharing"",""แพร่!M304"")"),0)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IFERROR(__xludf.DUMMYFUNCTION("IMPORTRANGE(""https://docs.google.com/spreadsheets/d/11923uPwbBZFjjGgGUA6NLw09EwE0CqkOc4q9oUmW1yo/edit?usp=sharing"",""แพร่!M305"")"),0)</f>
        <v>0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IFERROR(__xludf.DUMMYFUNCTION("IMPORTRANGE(""https://docs.google.com/spreadsheets/d/11923uPwbBZFjjGgGUA6NLw09EwE0CqkOc4q9oUmW1yo/edit?usp=sharing"",""แพร่!J307"")"),0)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IFERROR(__xludf.DUMMYFUNCTION("IMPORTRANGE(""https://docs.google.com/spreadsheets/d/11923uPwbBZFjjGgGUA6NLw09EwE0CqkOc4q9oUmW1yo/edit?usp=sharing"",""แพร่!J308"")"),1)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IFERROR(__xludf.DUMMYFUNCTION("IMPORTRANGE(""https://docs.google.com/spreadsheets/d/11923uPwbBZFjjGgGUA6NLw09EwE0CqkOc4q9oUmW1yo/edit?usp=sharing"",""แพร่!J309"")"),1)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IFERROR(__xludf.DUMMYFUNCTION("IMPORTRANGE(""https://docs.google.com/spreadsheets/d/11923uPwbBZFjjGgGUA6NLw09EwE0CqkOc4q9oUmW1yo/edit?usp=sharing"",""แพร่!J310"")"),1)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IFERROR(__xludf.DUMMYFUNCTION("IMPORTRANGE(""https://docs.google.com/spreadsheets/d/11923uPwbBZFjjGgGUA6NLw09EwE0CqkOc4q9oUmW1yo/edit?usp=sharing"",""แพร่!I311"")"),40)</f>
        <v>40</v>
      </c>
      <c r="J416" s="200">
        <f ca="1">IFERROR(__xludf.DUMMYFUNCTION("IMPORTRANGE(""https://docs.google.com/spreadsheets/d/11923uPwbBZFjjGgGUA6NLw09EwE0CqkOc4q9oUmW1yo/edit?usp=sharing"",""แพร่!J311"")"),10)</f>
        <v>10</v>
      </c>
      <c r="K416" s="201">
        <f t="shared" ref="K416:K432" ca="1" si="113">IF(I416&gt;0,J416*100/I416,0)</f>
        <v>25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IFERROR(__xludf.DUMMYFUNCTION("IMPORTRANGE(""https://docs.google.com/spreadsheets/d/11923uPwbBZFjjGgGUA6NLw09EwE0CqkOc4q9oUmW1yo/edit?usp=sharing"",""แพร่!I312"")"),10)</f>
        <v>10</v>
      </c>
      <c r="J417" s="390">
        <f ca="1">IFERROR(__xludf.DUMMYFUNCTION("IMPORTRANGE(""https://docs.google.com/spreadsheets/d/11923uPwbBZFjjGgGUA6NLw09EwE0CqkOc4q9oUmW1yo/edit?usp=sharing"",""แพร่!J312"")"),10)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IFERROR(__xludf.DUMMYFUNCTION("IMPORTRANGE(""https://docs.google.com/spreadsheets/d/11923uPwbBZFjjGgGUA6NLw09EwE0CqkOc4q9oUmW1yo/edit?usp=sharing"",""แพร่!I313"")"),30)</f>
        <v>30</v>
      </c>
      <c r="J418" s="391">
        <f ca="1">IFERROR(__xludf.DUMMYFUNCTION("IMPORTRANGE(""https://docs.google.com/spreadsheets/d/11923uPwbBZFjjGgGUA6NLw09EwE0CqkOc4q9oUmW1yo/edit?usp=sharing"",""แพร่!J313"")"),30)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IFERROR(__xludf.DUMMYFUNCTION("IMPORTRANGE(""https://docs.google.com/spreadsheets/d/11923uPwbBZFjjGgGUA6NLw09EwE0CqkOc4q9oUmW1yo/edit?usp=sharing"",""แพร่!I314"")"),10)</f>
        <v>10</v>
      </c>
      <c r="J419" s="392">
        <f ca="1">IFERROR(__xludf.DUMMYFUNCTION("IMPORTRANGE(""https://docs.google.com/spreadsheets/d/11923uPwbBZFjjGgGUA6NLw09EwE0CqkOc4q9oUmW1yo/edit?usp=sharing"",""แพร่!J314"")"),10)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IFERROR(__xludf.DUMMYFUNCTION("IMPORTRANGE(""https://docs.google.com/spreadsheets/d/11923uPwbBZFjjGgGUA6NLw09EwE0CqkOc4q9oUmW1yo/edit?usp=sharing"",""แพร่!I315"")"),10)</f>
        <v>10</v>
      </c>
      <c r="J420" s="392">
        <f ca="1">IFERROR(__xludf.DUMMYFUNCTION("IMPORTRANGE(""https://docs.google.com/spreadsheets/d/11923uPwbBZFjjGgGUA6NLw09EwE0CqkOc4q9oUmW1yo/edit?usp=sharing"",""แพร่!J315"")"),10)</f>
        <v>10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IFERROR(__xludf.DUMMYFUNCTION("IMPORTRANGE(""https://docs.google.com/spreadsheets/d/11923uPwbBZFjjGgGUA6NLw09EwE0CqkOc4q9oUmW1yo/edit?usp=sharing"",""แพร่!I316"")"),14)</f>
        <v>14</v>
      </c>
      <c r="J421" s="390">
        <f ca="1">IFERROR(__xludf.DUMMYFUNCTION("IMPORTRANGE(""https://docs.google.com/spreadsheets/d/11923uPwbBZFjjGgGUA6NLw09EwE0CqkOc4q9oUmW1yo/edit?usp=sharing"",""แพร่!J316"")"),0)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IFERROR(__xludf.DUMMYFUNCTION("IMPORTRANGE(""https://docs.google.com/spreadsheets/d/11923uPwbBZFjjGgGUA6NLw09EwE0CqkOc4q9oUmW1yo/edit?usp=sharing"",""แพร่!I317"")"),42)</f>
        <v>42</v>
      </c>
      <c r="J422" s="391">
        <f ca="1">IFERROR(__xludf.DUMMYFUNCTION("IMPORTRANGE(""https://docs.google.com/spreadsheets/d/11923uPwbBZFjjGgGUA6NLw09EwE0CqkOc4q9oUmW1yo/edit?usp=sharing"",""แพร่!J317"")"),42)</f>
        <v>42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IFERROR(__xludf.DUMMYFUNCTION("IMPORTRANGE(""https://docs.google.com/spreadsheets/d/11923uPwbBZFjjGgGUA6NLw09EwE0CqkOc4q9oUmW1yo/edit?usp=sharing"",""แพร่!I318"")"),14)</f>
        <v>14</v>
      </c>
      <c r="J423" s="392">
        <f ca="1">IFERROR(__xludf.DUMMYFUNCTION("IMPORTRANGE(""https://docs.google.com/spreadsheets/d/11923uPwbBZFjjGgGUA6NLw09EwE0CqkOc4q9oUmW1yo/edit?usp=sharing"",""แพร่!J318"")"),14)</f>
        <v>14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IFERROR(__xludf.DUMMYFUNCTION("IMPORTRANGE(""https://docs.google.com/spreadsheets/d/11923uPwbBZFjjGgGUA6NLw09EwE0CqkOc4q9oUmW1yo/edit?usp=sharing"",""แพร่!I319"")"),14)</f>
        <v>14</v>
      </c>
      <c r="J424" s="392">
        <f ca="1">IFERROR(__xludf.DUMMYFUNCTION("IMPORTRANGE(""https://docs.google.com/spreadsheets/d/11923uPwbBZFjjGgGUA6NLw09EwE0CqkOc4q9oUmW1yo/edit?usp=sharing"",""แพร่!J319"")"),0)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IFERROR(__xludf.DUMMYFUNCTION("IMPORTRANGE(""https://docs.google.com/spreadsheets/d/11923uPwbBZFjjGgGUA6NLw09EwE0CqkOc4q9oUmW1yo/edit?usp=sharing"",""แพร่!I320"")"),14)</f>
        <v>14</v>
      </c>
      <c r="J425" s="392">
        <f ca="1">IFERROR(__xludf.DUMMYFUNCTION("IMPORTRANGE(""https://docs.google.com/spreadsheets/d/11923uPwbBZFjjGgGUA6NLw09EwE0CqkOc4q9oUmW1yo/edit?usp=sharing"",""แพร่!J320"")"),0)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IFERROR(__xludf.DUMMYFUNCTION("IMPORTRANGE(""https://docs.google.com/spreadsheets/d/11923uPwbBZFjjGgGUA6NLw09EwE0CqkOc4q9oUmW1yo/edit?usp=sharing"",""แพร่!I321"")"),16)</f>
        <v>16</v>
      </c>
      <c r="J426" s="390">
        <f ca="1">IFERROR(__xludf.DUMMYFUNCTION("IMPORTRANGE(""https://docs.google.com/spreadsheets/d/11923uPwbBZFjjGgGUA6NLw09EwE0CqkOc4q9oUmW1yo/edit?usp=sharing"",""แพร่!J321"")"),0)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IFERROR(__xludf.DUMMYFUNCTION("IMPORTRANGE(""https://docs.google.com/spreadsheets/d/11923uPwbBZFjjGgGUA6NLw09EwE0CqkOc4q9oUmW1yo/edit?usp=sharing"",""แพร่!I322"")"),48)</f>
        <v>48</v>
      </c>
      <c r="J427" s="391">
        <f ca="1">IFERROR(__xludf.DUMMYFUNCTION("IMPORTRANGE(""https://docs.google.com/spreadsheets/d/11923uPwbBZFjjGgGUA6NLw09EwE0CqkOc4q9oUmW1yo/edit?usp=sharing"",""แพร่!J322"")"),48)</f>
        <v>48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IFERROR(__xludf.DUMMYFUNCTION("IMPORTRANGE(""https://docs.google.com/spreadsheets/d/11923uPwbBZFjjGgGUA6NLw09EwE0CqkOc4q9oUmW1yo/edit?usp=sharing"",""แพร่!I323"")"),16)</f>
        <v>16</v>
      </c>
      <c r="J428" s="392">
        <f ca="1">IFERROR(__xludf.DUMMYFUNCTION("IMPORTRANGE(""https://docs.google.com/spreadsheets/d/11923uPwbBZFjjGgGUA6NLw09EwE0CqkOc4q9oUmW1yo/edit?usp=sharing"",""แพร่!J323"")"),0)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IFERROR(__xludf.DUMMYFUNCTION("IMPORTRANGE(""https://docs.google.com/spreadsheets/d/11923uPwbBZFjjGgGUA6NLw09EwE0CqkOc4q9oUmW1yo/edit?usp=sharing"",""แพร่!I324"")"),16)</f>
        <v>16</v>
      </c>
      <c r="J429" s="392">
        <f ca="1">IFERROR(__xludf.DUMMYFUNCTION("IMPORTRANGE(""https://docs.google.com/spreadsheets/d/11923uPwbBZFjjGgGUA6NLw09EwE0CqkOc4q9oUmW1yo/edit?usp=sharing"",""แพร่!J324"")"),16)</f>
        <v>16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IFERROR(__xludf.DUMMYFUNCTION("IMPORTRANGE(""https://docs.google.com/spreadsheets/d/11923uPwbBZFjjGgGUA6NLw09EwE0CqkOc4q9oUmW1yo/edit?usp=sharing"",""แพร่!I325"")"),24)</f>
        <v>24</v>
      </c>
      <c r="J430" s="390">
        <f ca="1">IFERROR(__xludf.DUMMYFUNCTION("IMPORTRANGE(""https://docs.google.com/spreadsheets/d/11923uPwbBZFjjGgGUA6NLw09EwE0CqkOc4q9oUmW1yo/edit?usp=sharing"",""แพร่!J325"")"),0)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IFERROR(__xludf.DUMMYFUNCTION("IMPORTRANGE(""https://docs.google.com/spreadsheets/d/11923uPwbBZFjjGgGUA6NLw09EwE0CqkOc4q9oUmW1yo/edit?usp=sharing"",""แพร่!I326"")"),10)</f>
        <v>10</v>
      </c>
      <c r="J431" s="392">
        <f ca="1">IFERROR(__xludf.DUMMYFUNCTION("IMPORTRANGE(""https://docs.google.com/spreadsheets/d/11923uPwbBZFjjGgGUA6NLw09EwE0CqkOc4q9oUmW1yo/edit?usp=sharing"",""แพร่!J326"")"),0)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IFERROR(__xludf.DUMMYFUNCTION("IMPORTRANGE(""https://docs.google.com/spreadsheets/d/11923uPwbBZFjjGgGUA6NLw09EwE0CqkOc4q9oUmW1yo/edit?usp=sharing"",""แพร่!I327"")"),14)</f>
        <v>14</v>
      </c>
      <c r="J432" s="392">
        <f ca="1">IFERROR(__xludf.DUMMYFUNCTION("IMPORTRANGE(""https://docs.google.com/spreadsheets/d/11923uPwbBZFjjGgGUA6NLw09EwE0CqkOc4q9oUmW1yo/edit?usp=sharing"",""แพร่!J327"")"),0)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IFERROR(__xludf.DUMMYFUNCTION("IMPORTRANGE(""https://docs.google.com/spreadsheets/d/11923uPwbBZFjjGgGUA6NLw09EwE0CqkOc4q9oUmW1yo/edit?usp=sharing"",""แพร่!J328"")"),0)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IFERROR(__xludf.DUMMYFUNCTION("IMPORTRANGE(""https://docs.google.com/spreadsheets/d/11923uPwbBZFjjGgGUA6NLw09EwE0CqkOc4q9oUmW1yo/edit?usp=sharing"",""แพร่!J329"")"),0)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IFERROR(__xludf.DUMMYFUNCTION("IMPORTRANGE(""https://docs.google.com/spreadsheets/d/11923uPwbBZFjjGgGUA6NLw09EwE0CqkOc4q9oUmW1yo/edit?usp=sharing"",""แพร่!I330"")"),20)</f>
        <v>20</v>
      </c>
      <c r="J435" s="408">
        <f ca="1">IFERROR(__xludf.DUMMYFUNCTION("IMPORTRANGE(""https://docs.google.com/spreadsheets/d/11923uPwbBZFjjGgGUA6NLw09EwE0CqkOc4q9oUmW1yo/edit?usp=sharing"",""แพร่!J330"")"),20)</f>
        <v>20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IFERROR(__xludf.DUMMYFUNCTION("IMPORTRANGE(""https://docs.google.com/spreadsheets/d/11923uPwbBZFjjGgGUA6NLw09EwE0CqkOc4q9oUmW1yo/edit?usp=sharing"",""แพร่!L330"")"),100000)</f>
        <v>100000</v>
      </c>
      <c r="M435" s="410"/>
      <c r="N435" s="410">
        <f ca="1">IFERROR(__xludf.DUMMYFUNCTION("IMPORTRANGE(""https://docs.google.com/spreadsheets/d/11923uPwbBZFjjGgGUA6NLw09EwE0CqkOc4q9oUmW1yo/edit?usp=sharing"",""แพร่!M330"")"),62922.4)</f>
        <v>62922.400000000001</v>
      </c>
      <c r="O435" s="410">
        <f t="shared" ref="O435:O439" ca="1" si="114">+IF(L435&gt;0,N435*100/L435,0)</f>
        <v>62.922400000000003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IFERROR(__xludf.DUMMYFUNCTION("IMPORTRANGE(""https://docs.google.com/spreadsheets/d/11923uPwbBZFjjGgGUA6NLw09EwE0CqkOc4q9oUmW1yo/edit?usp=sharing"",""แพร่!L331"")"),0)</f>
        <v>0</v>
      </c>
      <c r="M436" s="164"/>
      <c r="N436" s="168">
        <f ca="1">IFERROR(__xludf.DUMMYFUNCTION("IMPORTRANGE(""https://docs.google.com/spreadsheets/d/11923uPwbBZFjjGgGUA6NLw09EwE0CqkOc4q9oUmW1yo/edit?usp=sharing"",""แพร่!M331"")"),0)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IFERROR(__xludf.DUMMYFUNCTION("IMPORTRANGE(""https://docs.google.com/spreadsheets/d/11923uPwbBZFjjGgGUA6NLw09EwE0CqkOc4q9oUmW1yo/edit?usp=sharing"",""แพร่!L332"")"),100000)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IFERROR(__xludf.DUMMYFUNCTION("IMPORTRANGE(""https://docs.google.com/spreadsheets/d/11923uPwbBZFjjGgGUA6NLw09EwE0CqkOc4q9oUmW1yo/edit?usp=sharing"",""แพร่!M332"")"),62922.4)</f>
        <v>62922.400000000001</v>
      </c>
      <c r="O437" s="168">
        <f t="shared" ca="1" si="114"/>
        <v>62.922400000000003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IFERROR(__xludf.DUMMYFUNCTION("IMPORTRANGE(""https://docs.google.com/spreadsheets/d/11923uPwbBZFjjGgGUA6NLw09EwE0CqkOc4q9oUmW1yo/edit?usp=sharing"",""แพร่!L333"")"),0)</f>
        <v>0</v>
      </c>
      <c r="M438" s="168"/>
      <c r="N438" s="168">
        <f ca="1">IFERROR(__xludf.DUMMYFUNCTION("IMPORTRANGE(""https://docs.google.com/spreadsheets/d/11923uPwbBZFjjGgGUA6NLw09EwE0CqkOc4q9oUmW1yo/edit?usp=sharing"",""แพร่!M333"")"),0)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IFERROR(__xludf.DUMMYFUNCTION("IMPORTRANGE(""https://docs.google.com/spreadsheets/d/11923uPwbBZFjjGgGUA6NLw09EwE0CqkOc4q9oUmW1yo/edit?usp=sharing"",""แพร่!L334"")"),100000)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IFERROR(__xludf.DUMMYFUNCTION("IMPORTRANGE(""https://docs.google.com/spreadsheets/d/11923uPwbBZFjjGgGUA6NLw09EwE0CqkOc4q9oUmW1yo/edit?usp=sharing"",""แพร่!M334"")"),62922.4)</f>
        <v>62922.400000000001</v>
      </c>
      <c r="O439" s="168">
        <f t="shared" ca="1" si="114"/>
        <v>62.922400000000003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IFERROR(__xludf.DUMMYFUNCTION("IMPORTRANGE(""https://docs.google.com/spreadsheets/d/11923uPwbBZFjjGgGUA6NLw09EwE0CqkOc4q9oUmW1yo/edit?usp=sharing"",""แพร่!M335"")"),62922.4)</f>
        <v>62922.400000000001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IFERROR(__xludf.DUMMYFUNCTION("IMPORTRANGE(""https://docs.google.com/spreadsheets/d/11923uPwbBZFjjGgGUA6NLw09EwE0CqkOc4q9oUmW1yo/edit?usp=sharing"",""แพร่!M336"")"),0)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IFERROR(__xludf.DUMMYFUNCTION("IMPORTRANGE(""https://docs.google.com/spreadsheets/d/11923uPwbBZFjjGgGUA6NLw09EwE0CqkOc4q9oUmW1yo/edit?usp=sharing"",""แพร่!M337"")"),0)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IFERROR(__xludf.DUMMYFUNCTION("IMPORTRANGE(""https://docs.google.com/spreadsheets/d/11923uPwbBZFjjGgGUA6NLw09EwE0CqkOc4q9oUmW1yo/edit?usp=sharing"",""แพร่!M338"")"),0)</f>
        <v>0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IFERROR(__xludf.DUMMYFUNCTION("IMPORTRANGE(""https://docs.google.com/spreadsheets/d/11923uPwbBZFjjGgGUA6NLw09EwE0CqkOc4q9oUmW1yo/edit?usp=sharing"",""แพร่!J340"")"),0)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IFERROR(__xludf.DUMMYFUNCTION("IMPORTRANGE(""https://docs.google.com/spreadsheets/d/11923uPwbBZFjjGgGUA6NLw09EwE0CqkOc4q9oUmW1yo/edit?usp=sharing"",""แพร่!J341"")"),1)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IFERROR(__xludf.DUMMYFUNCTION("IMPORTRANGE(""https://docs.google.com/spreadsheets/d/11923uPwbBZFjjGgGUA6NLw09EwE0CqkOc4q9oUmW1yo/edit?usp=sharing"",""แพร่!J342"")"),1)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IFERROR(__xludf.DUMMYFUNCTION("IMPORTRANGE(""https://docs.google.com/spreadsheets/d/11923uPwbBZFjjGgGUA6NLw09EwE0CqkOc4q9oUmW1yo/edit?usp=sharing"",""แพร่!J343"")"),1)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IFERROR(__xludf.DUMMYFUNCTION("IMPORTRANGE(""https://docs.google.com/spreadsheets/d/11923uPwbBZFjjGgGUA6NLw09EwE0CqkOc4q9oUmW1yo/edit?usp=sharing"",""แพร่!I344"")"),20)</f>
        <v>20</v>
      </c>
      <c r="J449" s="200">
        <f ca="1">IFERROR(__xludf.DUMMYFUNCTION("IMPORTRANGE(""https://docs.google.com/spreadsheets/d/11923uPwbBZFjjGgGUA6NLw09EwE0CqkOc4q9oUmW1yo/edit?usp=sharing"",""แพร่!J344"")"),20)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IFERROR(__xludf.DUMMYFUNCTION("IMPORTRANGE(""https://docs.google.com/spreadsheets/d/11923uPwbBZFjjGgGUA6NLw09EwE0CqkOc4q9oUmW1yo/edit?usp=sharing"",""แพร่!I345"")"),20)</f>
        <v>20</v>
      </c>
      <c r="J450" s="188">
        <f ca="1">IFERROR(__xludf.DUMMYFUNCTION("IMPORTRANGE(""https://docs.google.com/spreadsheets/d/11923uPwbBZFjjGgGUA6NLw09EwE0CqkOc4q9oUmW1yo/edit?usp=sharing"",""แพร่!J345"")"),20)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IFERROR(__xludf.DUMMYFUNCTION("IMPORTRANGE(""https://docs.google.com/spreadsheets/d/11923uPwbBZFjjGgGUA6NLw09EwE0CqkOc4q9oUmW1yo/edit?usp=sharing"",""แพร่!I346"")"),0)</f>
        <v>0</v>
      </c>
      <c r="J451" s="187">
        <f ca="1">IFERROR(__xludf.DUMMYFUNCTION("IMPORTRANGE(""https://docs.google.com/spreadsheets/d/11923uPwbBZFjjGgGUA6NLw09EwE0CqkOc4q9oUmW1yo/edit?usp=sharing"",""แพร่!J346"")"),0)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IFERROR(__xludf.DUMMYFUNCTION("IMPORTRANGE(""https://docs.google.com/spreadsheets/d/11923uPwbBZFjjGgGUA6NLw09EwE0CqkOc4q9oUmW1yo/edit?usp=sharing"",""แพร่!I347"")"),0)</f>
        <v>0</v>
      </c>
      <c r="J452" s="187">
        <f ca="1">IFERROR(__xludf.DUMMYFUNCTION("IMPORTRANGE(""https://docs.google.com/spreadsheets/d/11923uPwbBZFjjGgGUA6NLw09EwE0CqkOc4q9oUmW1yo/edit?usp=sharing"",""แพร่!J347"")"),0)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IFERROR(__xludf.DUMMYFUNCTION("IMPORTRANGE(""https://docs.google.com/spreadsheets/d/11923uPwbBZFjjGgGUA6NLw09EwE0CqkOc4q9oUmW1yo/edit?usp=sharing"",""แพร่!J348"")"),0)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IFERROR(__xludf.DUMMYFUNCTION("IMPORTRANGE(""https://docs.google.com/spreadsheets/d/11923uPwbBZFjjGgGUA6NLw09EwE0CqkOc4q9oUmW1yo/edit?usp=sharing"",""แพร่!J349"")"),0)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IFERROR(__xludf.DUMMYFUNCTION("IMPORTRANGE(""https://docs.google.com/spreadsheets/d/11923uPwbBZFjjGgGUA6NLw09EwE0CqkOc4q9oUmW1yo/edit?usp=sharing"",""แพร่!I350"")"),5092)</f>
        <v>5092</v>
      </c>
      <c r="J455" s="369">
        <f ca="1">IFERROR(__xludf.DUMMYFUNCTION("IMPORTRANGE(""https://docs.google.com/spreadsheets/d/11923uPwbBZFjjGgGUA6NLw09EwE0CqkOc4q9oUmW1yo/edit?usp=sharing"",""แพร่!J350"")"),0)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IFERROR(__xludf.DUMMYFUNCTION("IMPORTRANGE(""https://docs.google.com/spreadsheets/d/11923uPwbBZFjjGgGUA6NLw09EwE0CqkOc4q9oUmW1yo/edit?usp=sharing"",""แพร่!L350"")"),87020)</f>
        <v>87020</v>
      </c>
      <c r="M455" s="371"/>
      <c r="N455" s="371">
        <f ca="1">IFERROR(__xludf.DUMMYFUNCTION("IMPORTRANGE(""https://docs.google.com/spreadsheets/d/11923uPwbBZFjjGgGUA6NLw09EwE0CqkOc4q9oUmW1yo/edit?usp=sharing"",""แพร่!M350"")"),8100)</f>
        <v>8100</v>
      </c>
      <c r="O455" s="371">
        <f t="shared" ref="O455:O459" ca="1" si="116">+IF(L455&gt;0,N455*100/L455,0)</f>
        <v>9.3082050103424496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IFERROR(__xludf.DUMMYFUNCTION("IMPORTRANGE(""https://docs.google.com/spreadsheets/d/11923uPwbBZFjjGgGUA6NLw09EwE0CqkOc4q9oUmW1yo/edit?usp=sharing"",""แพร่!L351"")"),0)</f>
        <v>0</v>
      </c>
      <c r="M456" s="164"/>
      <c r="N456" s="168">
        <f ca="1">IFERROR(__xludf.DUMMYFUNCTION("IMPORTRANGE(""https://docs.google.com/spreadsheets/d/11923uPwbBZFjjGgGUA6NLw09EwE0CqkOc4q9oUmW1yo/edit?usp=sharing"",""แพร่!M351"")"),0)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IFERROR(__xludf.DUMMYFUNCTION("IMPORTRANGE(""https://docs.google.com/spreadsheets/d/11923uPwbBZFjjGgGUA6NLw09EwE0CqkOc4q9oUmW1yo/edit?usp=sharing"",""แพร่!L352"")"),87020)</f>
        <v>87020</v>
      </c>
      <c r="M457" s="165"/>
      <c r="N457" s="168">
        <f ca="1">IFERROR(__xludf.DUMMYFUNCTION("IMPORTRANGE(""https://docs.google.com/spreadsheets/d/11923uPwbBZFjjGgGUA6NLw09EwE0CqkOc4q9oUmW1yo/edit?usp=sharing"",""แพร่!M352"")"),8100)</f>
        <v>8100</v>
      </c>
      <c r="O457" s="168">
        <f t="shared" ca="1" si="116"/>
        <v>9.3082050103424496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IFERROR(__xludf.DUMMYFUNCTION("IMPORTRANGE(""https://docs.google.com/spreadsheets/d/11923uPwbBZFjjGgGUA6NLw09EwE0CqkOc4q9oUmW1yo/edit?usp=sharing"",""แพร่!L353"")"),0)</f>
        <v>0</v>
      </c>
      <c r="M458" s="168"/>
      <c r="N458" s="168">
        <f ca="1">IFERROR(__xludf.DUMMYFUNCTION("IMPORTRANGE(""https://docs.google.com/spreadsheets/d/11923uPwbBZFjjGgGUA6NLw09EwE0CqkOc4q9oUmW1yo/edit?usp=sharing"",""แพร่!M353"")"),0)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IFERROR(__xludf.DUMMYFUNCTION("IMPORTRANGE(""https://docs.google.com/spreadsheets/d/11923uPwbBZFjjGgGUA6NLw09EwE0CqkOc4q9oUmW1yo/edit?usp=sharing"",""แพร่!L354"")"),87020)</f>
        <v>87020</v>
      </c>
      <c r="M459" s="168"/>
      <c r="N459" s="168">
        <f ca="1">IFERROR(__xludf.DUMMYFUNCTION("IMPORTRANGE(""https://docs.google.com/spreadsheets/d/11923uPwbBZFjjGgGUA6NLw09EwE0CqkOc4q9oUmW1yo/edit?usp=sharing"",""แพร่!M354"")"),8100)</f>
        <v>8100</v>
      </c>
      <c r="O459" s="168">
        <f t="shared" ca="1" si="116"/>
        <v>9.3082050103424496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IFERROR(__xludf.DUMMYFUNCTION("IMPORTRANGE(""https://docs.google.com/spreadsheets/d/11923uPwbBZFjjGgGUA6NLw09EwE0CqkOc4q9oUmW1yo/edit?usp=sharing"",""แพร่!M355"")"),0)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IFERROR(__xludf.DUMMYFUNCTION("IMPORTRANGE(""https://docs.google.com/spreadsheets/d/11923uPwbBZFjjGgGUA6NLw09EwE0CqkOc4q9oUmW1yo/edit?usp=sharing"",""แพร่!M356"")"),0)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IFERROR(__xludf.DUMMYFUNCTION("IMPORTRANGE(""https://docs.google.com/spreadsheets/d/11923uPwbBZFjjGgGUA6NLw09EwE0CqkOc4q9oUmW1yo/edit?usp=sharing"",""แพร่!M357"")"),0)</f>
        <v>0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IFERROR(__xludf.DUMMYFUNCTION("IMPORTRANGE(""https://docs.google.com/spreadsheets/d/11923uPwbBZFjjGgGUA6NLw09EwE0CqkOc4q9oUmW1yo/edit?usp=sharing"",""แพร่!M358"")"),8100)</f>
        <v>8100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IFERROR(__xludf.DUMMYFUNCTION("IMPORTRANGE(""https://docs.google.com/spreadsheets/d/11923uPwbBZFjjGgGUA6NLw09EwE0CqkOc4q9oUmW1yo/edit?usp=sharing"",""แพร่!I359"")"),5092)</f>
        <v>5092</v>
      </c>
      <c r="J464" s="266">
        <f ca="1">IFERROR(__xludf.DUMMYFUNCTION("IMPORTRANGE(""https://docs.google.com/spreadsheets/d/11923uPwbBZFjjGgGUA6NLw09EwE0CqkOc4q9oUmW1yo/edit?usp=sharing"",""แพร่!J359"")"),0)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IFERROR(__xludf.DUMMYFUNCTION("IMPORTRANGE(""https://docs.google.com/spreadsheets/d/11923uPwbBZFjjGgGUA6NLw09EwE0CqkOc4q9oUmW1yo/edit?usp=sharing"",""แพร่!I360"")"),5092)</f>
        <v>5092</v>
      </c>
      <c r="J465" s="418">
        <f ca="1">IFERROR(__xludf.DUMMYFUNCTION("IMPORTRANGE(""https://docs.google.com/spreadsheets/d/11923uPwbBZFjjGgGUA6NLw09EwE0CqkOc4q9oUmW1yo/edit?usp=sharing"",""แพร่!J360"")"),5092.58)</f>
        <v>5092.58</v>
      </c>
      <c r="K465" s="201">
        <f t="shared" ca="1" si="117"/>
        <v>100.01139041633935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IFERROR(__xludf.DUMMYFUNCTION("IMPORTRANGE(""https://docs.google.com/spreadsheets/d/11923uPwbBZFjjGgGUA6NLw09EwE0CqkOc4q9oUmW1yo/edit?usp=sharing"",""แพร่!I361"")"),1189)</f>
        <v>1189</v>
      </c>
      <c r="J466" s="418">
        <f ca="1">IFERROR(__xludf.DUMMYFUNCTION("IMPORTRANGE(""https://docs.google.com/spreadsheets/d/11923uPwbBZFjjGgGUA6NLw09EwE0CqkOc4q9oUmW1yo/edit?usp=sharing"",""แพร่!J361"")"),1189)</f>
        <v>1189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IFERROR(__xludf.DUMMYFUNCTION("IMPORTRANGE(""https://docs.google.com/spreadsheets/d/11923uPwbBZFjjGgGUA6NLw09EwE0CqkOc4q9oUmW1yo/edit?usp=sharing"",""แพร่!I362"")"),0)</f>
        <v>0</v>
      </c>
      <c r="J467" s="188">
        <f ca="1">IFERROR(__xludf.DUMMYFUNCTION("IMPORTRANGE(""https://docs.google.com/spreadsheets/d/11923uPwbBZFjjGgGUA6NLw09EwE0CqkOc4q9oUmW1yo/edit?usp=sharing"",""แพร่!J362"")"),3660.15)</f>
        <v>3660.15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IFERROR(__xludf.DUMMYFUNCTION("IMPORTRANGE(""https://docs.google.com/spreadsheets/d/11923uPwbBZFjjGgGUA6NLw09EwE0CqkOc4q9oUmW1yo/edit?usp=sharing"",""แพร่!I363"")"),0)</f>
        <v>0</v>
      </c>
      <c r="J468" s="188">
        <f ca="1">IFERROR(__xludf.DUMMYFUNCTION("IMPORTRANGE(""https://docs.google.com/spreadsheets/d/11923uPwbBZFjjGgGUA6NLw09EwE0CqkOc4q9oUmW1yo/edit?usp=sharing"",""แพร่!J363"")"),850)</f>
        <v>850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IFERROR(__xludf.DUMMYFUNCTION("IMPORTRANGE(""https://docs.google.com/spreadsheets/d/11923uPwbBZFjjGgGUA6NLw09EwE0CqkOc4q9oUmW1yo/edit?usp=sharing"",""แพร่!I364"")"),0)</f>
        <v>0</v>
      </c>
      <c r="J469" s="188">
        <f ca="1">IFERROR(__xludf.DUMMYFUNCTION("IMPORTRANGE(""https://docs.google.com/spreadsheets/d/11923uPwbBZFjjGgGUA6NLw09EwE0CqkOc4q9oUmW1yo/edit?usp=sharing"",""แพร่!J364"")"),1312)</f>
        <v>1312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IFERROR(__xludf.DUMMYFUNCTION("IMPORTRANGE(""https://docs.google.com/spreadsheets/d/11923uPwbBZFjjGgGUA6NLw09EwE0CqkOc4q9oUmW1yo/edit?usp=sharing"",""แพร่!I365"")"),0)</f>
        <v>0</v>
      </c>
      <c r="J470" s="188">
        <f ca="1">IFERROR(__xludf.DUMMYFUNCTION("IMPORTRANGE(""https://docs.google.com/spreadsheets/d/11923uPwbBZFjjGgGUA6NLw09EwE0CqkOc4q9oUmW1yo/edit?usp=sharing"",""แพร่!J365"")"),308)</f>
        <v>308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IFERROR(__xludf.DUMMYFUNCTION("IMPORTRANGE(""https://docs.google.com/spreadsheets/d/11923uPwbBZFjjGgGUA6NLw09EwE0CqkOc4q9oUmW1yo/edit?usp=sharing"",""แพร่!I366"")"),0)</f>
        <v>0</v>
      </c>
      <c r="J471" s="188">
        <f ca="1">IFERROR(__xludf.DUMMYFUNCTION("IMPORTRANGE(""https://docs.google.com/spreadsheets/d/11923uPwbBZFjjGgGUA6NLw09EwE0CqkOc4q9oUmW1yo/edit?usp=sharing"",""แพร่!J366"")"),120.43)</f>
        <v>120.43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IFERROR(__xludf.DUMMYFUNCTION("IMPORTRANGE(""https://docs.google.com/spreadsheets/d/11923uPwbBZFjjGgGUA6NLw09EwE0CqkOc4q9oUmW1yo/edit?usp=sharing"",""แพร่!I367"")"),0)</f>
        <v>0</v>
      </c>
      <c r="J472" s="188">
        <f ca="1">IFERROR(__xludf.DUMMYFUNCTION("IMPORTRANGE(""https://docs.google.com/spreadsheets/d/11923uPwbBZFjjGgGUA6NLw09EwE0CqkOc4q9oUmW1yo/edit?usp=sharing"",""แพร่!J367"")"),31)</f>
        <v>31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IFERROR(__xludf.DUMMYFUNCTION("IMPORTRANGE(""https://docs.google.com/spreadsheets/d/11923uPwbBZFjjGgGUA6NLw09EwE0CqkOc4q9oUmW1yo/edit?usp=sharing"",""แพร่!I368"")"),5092)</f>
        <v>5092</v>
      </c>
      <c r="J473" s="418">
        <f ca="1">IFERROR(__xludf.DUMMYFUNCTION("IMPORTRANGE(""https://docs.google.com/spreadsheets/d/11923uPwbBZFjjGgGUA6NLw09EwE0CqkOc4q9oUmW1yo/edit?usp=sharing"",""แพร่!J368"")"),0)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IFERROR(__xludf.DUMMYFUNCTION("IMPORTRANGE(""https://docs.google.com/spreadsheets/d/11923uPwbBZFjjGgGUA6NLw09EwE0CqkOc4q9oUmW1yo/edit?usp=sharing"",""แพร่!I369"")"),1189)</f>
        <v>1189</v>
      </c>
      <c r="J474" s="418">
        <f ca="1">IFERROR(__xludf.DUMMYFUNCTION("IMPORTRANGE(""https://docs.google.com/spreadsheets/d/11923uPwbBZFjjGgGUA6NLw09EwE0CqkOc4q9oUmW1yo/edit?usp=sharing"",""แพร่!J369"")"),0)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IFERROR(__xludf.DUMMYFUNCTION("IMPORTRANGE(""https://docs.google.com/spreadsheets/d/11923uPwbBZFjjGgGUA6NLw09EwE0CqkOc4q9oUmW1yo/edit?usp=sharing"",""แพร่!I370"")"),0)</f>
        <v>0</v>
      </c>
      <c r="J475" s="188">
        <f ca="1">IFERROR(__xludf.DUMMYFUNCTION("IMPORTRANGE(""https://docs.google.com/spreadsheets/d/11923uPwbBZFjjGgGUA6NLw09EwE0CqkOc4q9oUmW1yo/edit?usp=sharing"",""แพร่!J370"")"),0)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IFERROR(__xludf.DUMMYFUNCTION("IMPORTRANGE(""https://docs.google.com/spreadsheets/d/11923uPwbBZFjjGgGUA6NLw09EwE0CqkOc4q9oUmW1yo/edit?usp=sharing"",""แพร่!I371"")"),0)</f>
        <v>0</v>
      </c>
      <c r="J476" s="188">
        <f ca="1">IFERROR(__xludf.DUMMYFUNCTION("IMPORTRANGE(""https://docs.google.com/spreadsheets/d/11923uPwbBZFjjGgGUA6NLw09EwE0CqkOc4q9oUmW1yo/edit?usp=sharing"",""แพร่!J371"")"),0)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IFERROR(__xludf.DUMMYFUNCTION("IMPORTRANGE(""https://docs.google.com/spreadsheets/d/11923uPwbBZFjjGgGUA6NLw09EwE0CqkOc4q9oUmW1yo/edit?usp=sharing"",""แพร่!I372"")"),0)</f>
        <v>0</v>
      </c>
      <c r="J477" s="188">
        <f ca="1">IFERROR(__xludf.DUMMYFUNCTION("IMPORTRANGE(""https://docs.google.com/spreadsheets/d/11923uPwbBZFjjGgGUA6NLw09EwE0CqkOc4q9oUmW1yo/edit?usp=sharing"",""แพร่!J372"")"),0)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IFERROR(__xludf.DUMMYFUNCTION("IMPORTRANGE(""https://docs.google.com/spreadsheets/d/11923uPwbBZFjjGgGUA6NLw09EwE0CqkOc4q9oUmW1yo/edit?usp=sharing"",""แพร่!I373"")"),0)</f>
        <v>0</v>
      </c>
      <c r="J478" s="188">
        <f ca="1">IFERROR(__xludf.DUMMYFUNCTION("IMPORTRANGE(""https://docs.google.com/spreadsheets/d/11923uPwbBZFjjGgGUA6NLw09EwE0CqkOc4q9oUmW1yo/edit?usp=sharing"",""แพร่!J373"")"),0)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IFERROR(__xludf.DUMMYFUNCTION("IMPORTRANGE(""https://docs.google.com/spreadsheets/d/11923uPwbBZFjjGgGUA6NLw09EwE0CqkOc4q9oUmW1yo/edit?usp=sharing"",""แพร่!I374"")"),0)</f>
        <v>0</v>
      </c>
      <c r="J479" s="188">
        <f ca="1">IFERROR(__xludf.DUMMYFUNCTION("IMPORTRANGE(""https://docs.google.com/spreadsheets/d/11923uPwbBZFjjGgGUA6NLw09EwE0CqkOc4q9oUmW1yo/edit?usp=sharing"",""แพร่!J374"")"),0)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IFERROR(__xludf.DUMMYFUNCTION("IMPORTRANGE(""https://docs.google.com/spreadsheets/d/11923uPwbBZFjjGgGUA6NLw09EwE0CqkOc4q9oUmW1yo/edit?usp=sharing"",""แพร่!I375"")"),0)</f>
        <v>0</v>
      </c>
      <c r="J480" s="188">
        <f ca="1">IFERROR(__xludf.DUMMYFUNCTION("IMPORTRANGE(""https://docs.google.com/spreadsheets/d/11923uPwbBZFjjGgGUA6NLw09EwE0CqkOc4q9oUmW1yo/edit?usp=sharing"",""แพร่!J375"")"),0)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IFERROR(__xludf.DUMMYFUNCTION("IMPORTRANGE(""https://docs.google.com/spreadsheets/d/11923uPwbBZFjjGgGUA6NLw09EwE0CqkOc4q9oUmW1yo/edit?usp=sharing"",""แพร่!I376"")"),5092)</f>
        <v>5092</v>
      </c>
      <c r="J481" s="418">
        <f ca="1">IFERROR(__xludf.DUMMYFUNCTION("IMPORTRANGE(""https://docs.google.com/spreadsheets/d/11923uPwbBZFjjGgGUA6NLw09EwE0CqkOc4q9oUmW1yo/edit?usp=sharing"",""แพร่!J376"")"),0)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IFERROR(__xludf.DUMMYFUNCTION("IMPORTRANGE(""https://docs.google.com/spreadsheets/d/11923uPwbBZFjjGgGUA6NLw09EwE0CqkOc4q9oUmW1yo/edit?usp=sharing"",""แพร่!I377"")"),1189)</f>
        <v>1189</v>
      </c>
      <c r="J482" s="418">
        <f ca="1">IFERROR(__xludf.DUMMYFUNCTION("IMPORTRANGE(""https://docs.google.com/spreadsheets/d/11923uPwbBZFjjGgGUA6NLw09EwE0CqkOc4q9oUmW1yo/edit?usp=sharing"",""แพร่!J377"")"),0)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IFERROR(__xludf.DUMMYFUNCTION("IMPORTRANGE(""https://docs.google.com/spreadsheets/d/11923uPwbBZFjjGgGUA6NLw09EwE0CqkOc4q9oUmW1yo/edit?usp=sharing"",""แพร่!I378"")"),0)</f>
        <v>0</v>
      </c>
      <c r="J483" s="188">
        <f ca="1">IFERROR(__xludf.DUMMYFUNCTION("IMPORTRANGE(""https://docs.google.com/spreadsheets/d/11923uPwbBZFjjGgGUA6NLw09EwE0CqkOc4q9oUmW1yo/edit?usp=sharing"",""แพร่!J378"")"),0)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IFERROR(__xludf.DUMMYFUNCTION("IMPORTRANGE(""https://docs.google.com/spreadsheets/d/11923uPwbBZFjjGgGUA6NLw09EwE0CqkOc4q9oUmW1yo/edit?usp=sharing"",""แพร่!I379"")"),0)</f>
        <v>0</v>
      </c>
      <c r="J484" s="188">
        <f ca="1">IFERROR(__xludf.DUMMYFUNCTION("IMPORTRANGE(""https://docs.google.com/spreadsheets/d/11923uPwbBZFjjGgGUA6NLw09EwE0CqkOc4q9oUmW1yo/edit?usp=sharing"",""แพร่!J379"")"),0)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IFERROR(__xludf.DUMMYFUNCTION("IMPORTRANGE(""https://docs.google.com/spreadsheets/d/11923uPwbBZFjjGgGUA6NLw09EwE0CqkOc4q9oUmW1yo/edit?usp=sharing"",""แพร่!I380"")"),0)</f>
        <v>0</v>
      </c>
      <c r="J485" s="188">
        <f ca="1">IFERROR(__xludf.DUMMYFUNCTION("IMPORTRANGE(""https://docs.google.com/spreadsheets/d/11923uPwbBZFjjGgGUA6NLw09EwE0CqkOc4q9oUmW1yo/edit?usp=sharing"",""แพร่!J380"")"),0)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IFERROR(__xludf.DUMMYFUNCTION("IMPORTRANGE(""https://docs.google.com/spreadsheets/d/11923uPwbBZFjjGgGUA6NLw09EwE0CqkOc4q9oUmW1yo/edit?usp=sharing"",""แพร่!I381"")"),0)</f>
        <v>0</v>
      </c>
      <c r="J486" s="188">
        <f ca="1">IFERROR(__xludf.DUMMYFUNCTION("IMPORTRANGE(""https://docs.google.com/spreadsheets/d/11923uPwbBZFjjGgGUA6NLw09EwE0CqkOc4q9oUmW1yo/edit?usp=sharing"",""แพร่!J381"")"),0)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IFERROR(__xludf.DUMMYFUNCTION("IMPORTRANGE(""https://docs.google.com/spreadsheets/d/11923uPwbBZFjjGgGUA6NLw09EwE0CqkOc4q9oUmW1yo/edit?usp=sharing"",""แพร่!I382"")"),0)</f>
        <v>0</v>
      </c>
      <c r="J487" s="418">
        <f ca="1">IFERROR(__xludf.DUMMYFUNCTION("IMPORTRANGE(""https://docs.google.com/spreadsheets/d/11923uPwbBZFjjGgGUA6NLw09EwE0CqkOc4q9oUmW1yo/edit?usp=sharing"",""แพร่!J382"")"),0)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IFERROR(__xludf.DUMMYFUNCTION("IMPORTRANGE(""https://docs.google.com/spreadsheets/d/11923uPwbBZFjjGgGUA6NLw09EwE0CqkOc4q9oUmW1yo/edit?usp=sharing"",""แพร่!I383"")"),0)</f>
        <v>0</v>
      </c>
      <c r="J488" s="418">
        <f ca="1">IFERROR(__xludf.DUMMYFUNCTION("IMPORTRANGE(""https://docs.google.com/spreadsheets/d/11923uPwbBZFjjGgGUA6NLw09EwE0CqkOc4q9oUmW1yo/edit?usp=sharing"",""แพร่!J383"")"),0)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IFERROR(__xludf.DUMMYFUNCTION("IMPORTRANGE(""https://docs.google.com/spreadsheets/d/11923uPwbBZFjjGgGUA6NLw09EwE0CqkOc4q9oUmW1yo/edit?usp=sharing"",""แพร่!I384"")"),0)</f>
        <v>0</v>
      </c>
      <c r="J489" s="188">
        <f ca="1">IFERROR(__xludf.DUMMYFUNCTION("IMPORTRANGE(""https://docs.google.com/spreadsheets/d/11923uPwbBZFjjGgGUA6NLw09EwE0CqkOc4q9oUmW1yo/edit?usp=sharing"",""แพร่!J384"")"),0)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IFERROR(__xludf.DUMMYFUNCTION("IMPORTRANGE(""https://docs.google.com/spreadsheets/d/11923uPwbBZFjjGgGUA6NLw09EwE0CqkOc4q9oUmW1yo/edit?usp=sharing"",""แพร่!I385"")"),0)</f>
        <v>0</v>
      </c>
      <c r="J490" s="188">
        <f ca="1">IFERROR(__xludf.DUMMYFUNCTION("IMPORTRANGE(""https://docs.google.com/spreadsheets/d/11923uPwbBZFjjGgGUA6NLw09EwE0CqkOc4q9oUmW1yo/edit?usp=sharing"",""แพร่!J385"")"),0)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IFERROR(__xludf.DUMMYFUNCTION("IMPORTRANGE(""https://docs.google.com/spreadsheets/d/11923uPwbBZFjjGgGUA6NLw09EwE0CqkOc4q9oUmW1yo/edit?usp=sharing"",""แพร่!I386"")"),0)</f>
        <v>0</v>
      </c>
      <c r="J491" s="188">
        <f ca="1">IFERROR(__xludf.DUMMYFUNCTION("IMPORTRANGE(""https://docs.google.com/spreadsheets/d/11923uPwbBZFjjGgGUA6NLw09EwE0CqkOc4q9oUmW1yo/edit?usp=sharing"",""แพร่!J386"")"),0)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IFERROR(__xludf.DUMMYFUNCTION("IMPORTRANGE(""https://docs.google.com/spreadsheets/d/11923uPwbBZFjjGgGUA6NLw09EwE0CqkOc4q9oUmW1yo/edit?usp=sharing"",""แพร่!I387"")"),0)</f>
        <v>0</v>
      </c>
      <c r="J492" s="188">
        <f ca="1">IFERROR(__xludf.DUMMYFUNCTION("IMPORTRANGE(""https://docs.google.com/spreadsheets/d/11923uPwbBZFjjGgGUA6NLw09EwE0CqkOc4q9oUmW1yo/edit?usp=sharing"",""แพร่!J387"")"),0)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IFERROR(__xludf.DUMMYFUNCTION("IMPORTRANGE(""https://docs.google.com/spreadsheets/d/11923uPwbBZFjjGgGUA6NLw09EwE0CqkOc4q9oUmW1yo/edit?usp=sharing"",""แพร่!I388"")"),0)</f>
        <v>0</v>
      </c>
      <c r="J493" s="188">
        <f ca="1">IFERROR(__xludf.DUMMYFUNCTION("IMPORTRANGE(""https://docs.google.com/spreadsheets/d/11923uPwbBZFjjGgGUA6NLw09EwE0CqkOc4q9oUmW1yo/edit?usp=sharing"",""แพร่!J388"")"),0)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IFERROR(__xludf.DUMMYFUNCTION("IMPORTRANGE(""https://docs.google.com/spreadsheets/d/11923uPwbBZFjjGgGUA6NLw09EwE0CqkOc4q9oUmW1yo/edit?usp=sharing"",""แพร่!I389"")"),0)</f>
        <v>0</v>
      </c>
      <c r="J494" s="434">
        <f ca="1">IFERROR(__xludf.DUMMYFUNCTION("IMPORTRANGE(""https://docs.google.com/spreadsheets/d/11923uPwbBZFjjGgGUA6NLw09EwE0CqkOc4q9oUmW1yo/edit?usp=sharing"",""แพร่!J389"")"),0)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IFERROR(__xludf.DUMMYFUNCTION("IMPORTRANGE(""https://docs.google.com/spreadsheets/d/11923uPwbBZFjjGgGUA6NLw09EwE0CqkOc4q9oUmW1yo/edit?usp=sharing"",""แพร่!I390"")"),0)</f>
        <v>0</v>
      </c>
      <c r="J495" s="434">
        <f ca="1">IFERROR(__xludf.DUMMYFUNCTION("IMPORTRANGE(""https://docs.google.com/spreadsheets/d/11923uPwbBZFjjGgGUA6NLw09EwE0CqkOc4q9oUmW1yo/edit?usp=sharing"",""แพร่!J390"")"),0)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IFERROR(__xludf.DUMMYFUNCTION("IMPORTRANGE(""https://docs.google.com/spreadsheets/d/11923uPwbBZFjjGgGUA6NLw09EwE0CqkOc4q9oUmW1yo/edit?usp=sharing"",""แพร่!I391"")"),0)</f>
        <v>0</v>
      </c>
      <c r="J496" s="434">
        <f ca="1">IFERROR(__xludf.DUMMYFUNCTION("IMPORTRANGE(""https://docs.google.com/spreadsheets/d/11923uPwbBZFjjGgGUA6NLw09EwE0CqkOc4q9oUmW1yo/edit?usp=sharing"",""แพร่!J391"")"),0)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IFERROR(__xludf.DUMMYFUNCTION("IMPORTRANGE(""https://docs.google.com/spreadsheets/d/11923uPwbBZFjjGgGUA6NLw09EwE0CqkOc4q9oUmW1yo/edit?usp=sharing"",""แพร่!I392"")"),139)</f>
        <v>139</v>
      </c>
      <c r="J497" s="441">
        <f ca="1">IFERROR(__xludf.DUMMYFUNCTION("IMPORTRANGE(""https://docs.google.com/spreadsheets/d/11923uPwbBZFjjGgGUA6NLw09EwE0CqkOc4q9oUmW1yo/edit?usp=sharing"",""แพร่!J392"")"),0)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IFERROR(__xludf.DUMMYFUNCTION("IMPORTRANGE(""https://docs.google.com/spreadsheets/d/11923uPwbBZFjjGgGUA6NLw09EwE0CqkOc4q9oUmW1yo/edit?usp=sharing"",""แพร่!I393"")"),139)</f>
        <v>139</v>
      </c>
      <c r="J498" s="418">
        <f ca="1">IFERROR(__xludf.DUMMYFUNCTION("IMPORTRANGE(""https://docs.google.com/spreadsheets/d/11923uPwbBZFjjGgGUA6NLw09EwE0CqkOc4q9oUmW1yo/edit?usp=sharing"",""แพร่!J393"")"),0)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IFERROR(__xludf.DUMMYFUNCTION("IMPORTRANGE(""https://docs.google.com/spreadsheets/d/11923uPwbBZFjjGgGUA6NLw09EwE0CqkOc4q9oUmW1yo/edit?usp=sharing"",""แพร่!I394"")"),32)</f>
        <v>32</v>
      </c>
      <c r="J499" s="418">
        <f ca="1">IFERROR(__xludf.DUMMYFUNCTION("IMPORTRANGE(""https://docs.google.com/spreadsheets/d/11923uPwbBZFjjGgGUA6NLw09EwE0CqkOc4q9oUmW1yo/edit?usp=sharing"",""แพร่!J394"")"),0)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IFERROR(__xludf.DUMMYFUNCTION("IMPORTRANGE(""https://docs.google.com/spreadsheets/d/11923uPwbBZFjjGgGUA6NLw09EwE0CqkOc4q9oUmW1yo/edit?usp=sharing"",""แพร่!I395"")"),0)</f>
        <v>0</v>
      </c>
      <c r="J500" s="162">
        <f ca="1">IFERROR(__xludf.DUMMYFUNCTION("IMPORTRANGE(""https://docs.google.com/spreadsheets/d/11923uPwbBZFjjGgGUA6NLw09EwE0CqkOc4q9oUmW1yo/edit?usp=sharing"",""แพร่!J395"")"),0)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IFERROR(__xludf.DUMMYFUNCTION("IMPORTRANGE(""https://docs.google.com/spreadsheets/d/11923uPwbBZFjjGgGUA6NLw09EwE0CqkOc4q9oUmW1yo/edit?usp=sharing"",""แพร่!I396"")"),0)</f>
        <v>0</v>
      </c>
      <c r="J501" s="162">
        <f ca="1">IFERROR(__xludf.DUMMYFUNCTION("IMPORTRANGE(""https://docs.google.com/spreadsheets/d/11923uPwbBZFjjGgGUA6NLw09EwE0CqkOc4q9oUmW1yo/edit?usp=sharing"",""แพร่!J396"")"),0)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IFERROR(__xludf.DUMMYFUNCTION("IMPORTRANGE(""https://docs.google.com/spreadsheets/d/11923uPwbBZFjjGgGUA6NLw09EwE0CqkOc4q9oUmW1yo/edit?usp=sharing"",""แพร่!I397"")"),0)</f>
        <v>0</v>
      </c>
      <c r="J502" s="188">
        <f ca="1">IFERROR(__xludf.DUMMYFUNCTION("IMPORTRANGE(""https://docs.google.com/spreadsheets/d/11923uPwbBZFjjGgGUA6NLw09EwE0CqkOc4q9oUmW1yo/edit?usp=sharing"",""แพร่!J397"")"),0)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IFERROR(__xludf.DUMMYFUNCTION("IMPORTRANGE(""https://docs.google.com/spreadsheets/d/11923uPwbBZFjjGgGUA6NLw09EwE0CqkOc4q9oUmW1yo/edit?usp=sharing"",""แพร่!I398"")"),0)</f>
        <v>0</v>
      </c>
      <c r="J503" s="197">
        <f ca="1">IFERROR(__xludf.DUMMYFUNCTION("IMPORTRANGE(""https://docs.google.com/spreadsheets/d/11923uPwbBZFjjGgGUA6NLw09EwE0CqkOc4q9oUmW1yo/edit?usp=sharing"",""แพร่!J398"")"),0)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IFERROR(__xludf.DUMMYFUNCTION("IMPORTRANGE(""https://docs.google.com/spreadsheets/d/11923uPwbBZFjjGgGUA6NLw09EwE0CqkOc4q9oUmW1yo/edit?usp=sharing"",""แพร่!I399"")"),0)</f>
        <v>0</v>
      </c>
      <c r="J504" s="188">
        <f ca="1">IFERROR(__xludf.DUMMYFUNCTION("IMPORTRANGE(""https://docs.google.com/spreadsheets/d/11923uPwbBZFjjGgGUA6NLw09EwE0CqkOc4q9oUmW1yo/edit?usp=sharing"",""แพร่!J399"")"),0)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IFERROR(__xludf.DUMMYFUNCTION("IMPORTRANGE(""https://docs.google.com/spreadsheets/d/11923uPwbBZFjjGgGUA6NLw09EwE0CqkOc4q9oUmW1yo/edit?usp=sharing"",""แพร่!I400"")"),0)</f>
        <v>0</v>
      </c>
      <c r="J505" s="197">
        <f ca="1">IFERROR(__xludf.DUMMYFUNCTION("IMPORTRANGE(""https://docs.google.com/spreadsheets/d/11923uPwbBZFjjGgGUA6NLw09EwE0CqkOc4q9oUmW1yo/edit?usp=sharing"",""แพร่!J400"")"),0)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IFERROR(__xludf.DUMMYFUNCTION("IMPORTRANGE(""https://docs.google.com/spreadsheets/d/11923uPwbBZFjjGgGUA6NLw09EwE0CqkOc4q9oUmW1yo/edit?usp=sharing"",""แพร่!I401"")"),0)</f>
        <v>0</v>
      </c>
      <c r="J506" s="188">
        <f ca="1">IFERROR(__xludf.DUMMYFUNCTION("IMPORTRANGE(""https://docs.google.com/spreadsheets/d/11923uPwbBZFjjGgGUA6NLw09EwE0CqkOc4q9oUmW1yo/edit?usp=sharing"",""แพร่!J401"")"),0)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IFERROR(__xludf.DUMMYFUNCTION("IMPORTRANGE(""https://docs.google.com/spreadsheets/d/11923uPwbBZFjjGgGUA6NLw09EwE0CqkOc4q9oUmW1yo/edit?usp=sharing"",""แพร่!I402"")"),0)</f>
        <v>0</v>
      </c>
      <c r="J507" s="197">
        <f ca="1">IFERROR(__xludf.DUMMYFUNCTION("IMPORTRANGE(""https://docs.google.com/spreadsheets/d/11923uPwbBZFjjGgGUA6NLw09EwE0CqkOc4q9oUmW1yo/edit?usp=sharing"",""แพร่!J402"")"),0)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IFERROR(__xludf.DUMMYFUNCTION("IMPORTRANGE(""https://docs.google.com/spreadsheets/d/11923uPwbBZFjjGgGUA6NLw09EwE0CqkOc4q9oUmW1yo/edit?usp=sharing"",""แพร่!I403"")"),0)</f>
        <v>0</v>
      </c>
      <c r="J508" s="162">
        <f ca="1">IFERROR(__xludf.DUMMYFUNCTION("IMPORTRANGE(""https://docs.google.com/spreadsheets/d/11923uPwbBZFjjGgGUA6NLw09EwE0CqkOc4q9oUmW1yo/edit?usp=sharing"",""แพร่!J403"")"),0)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IFERROR(__xludf.DUMMYFUNCTION("IMPORTRANGE(""https://docs.google.com/spreadsheets/d/11923uPwbBZFjjGgGUA6NLw09EwE0CqkOc4q9oUmW1yo/edit?usp=sharing"",""แพร่!I404"")"),0)</f>
        <v>0</v>
      </c>
      <c r="J509" s="162">
        <f ca="1">IFERROR(__xludf.DUMMYFUNCTION("IMPORTRANGE(""https://docs.google.com/spreadsheets/d/11923uPwbBZFjjGgGUA6NLw09EwE0CqkOc4q9oUmW1yo/edit?usp=sharing"",""แพร่!J404"")"),0)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IFERROR(__xludf.DUMMYFUNCTION("IMPORTRANGE(""https://docs.google.com/spreadsheets/d/11923uPwbBZFjjGgGUA6NLw09EwE0CqkOc4q9oUmW1yo/edit?usp=sharing"",""แพร่!I405"")"),0)</f>
        <v>0</v>
      </c>
      <c r="J510" s="197">
        <f ca="1">IFERROR(__xludf.DUMMYFUNCTION("IMPORTRANGE(""https://docs.google.com/spreadsheets/d/11923uPwbBZFjjGgGUA6NLw09EwE0CqkOc4q9oUmW1yo/edit?usp=sharing"",""แพร่!J405"")"),0)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IFERROR(__xludf.DUMMYFUNCTION("IMPORTRANGE(""https://docs.google.com/spreadsheets/d/11923uPwbBZFjjGgGUA6NLw09EwE0CqkOc4q9oUmW1yo/edit?usp=sharing"",""แพร่!I406"")"),0)</f>
        <v>0</v>
      </c>
      <c r="J511" s="197">
        <f ca="1">IFERROR(__xludf.DUMMYFUNCTION("IMPORTRANGE(""https://docs.google.com/spreadsheets/d/11923uPwbBZFjjGgGUA6NLw09EwE0CqkOc4q9oUmW1yo/edit?usp=sharing"",""แพร่!J406"")"),0)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IFERROR(__xludf.DUMMYFUNCTION("IMPORTRANGE(""https://docs.google.com/spreadsheets/d/11923uPwbBZFjjGgGUA6NLw09EwE0CqkOc4q9oUmW1yo/edit?usp=sharing"",""แพร่!I407"")"),0)</f>
        <v>0</v>
      </c>
      <c r="J512" s="197">
        <f ca="1">IFERROR(__xludf.DUMMYFUNCTION("IMPORTRANGE(""https://docs.google.com/spreadsheets/d/11923uPwbBZFjjGgGUA6NLw09EwE0CqkOc4q9oUmW1yo/edit?usp=sharing"",""แพร่!J407"")"),0)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IFERROR(__xludf.DUMMYFUNCTION("IMPORTRANGE(""https://docs.google.com/spreadsheets/d/11923uPwbBZFjjGgGUA6NLw09EwE0CqkOc4q9oUmW1yo/edit?usp=sharing"",""แพร่!I408"")"),0)</f>
        <v>0</v>
      </c>
      <c r="J513" s="197">
        <f ca="1">IFERROR(__xludf.DUMMYFUNCTION("IMPORTRANGE(""https://docs.google.com/spreadsheets/d/11923uPwbBZFjjGgGUA6NLw09EwE0CqkOc4q9oUmW1yo/edit?usp=sharing"",""แพร่!J408"")"),0)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IFERROR(__xludf.DUMMYFUNCTION("IMPORTRANGE(""https://docs.google.com/spreadsheets/d/11923uPwbBZFjjGgGUA6NLw09EwE0CqkOc4q9oUmW1yo/edit?usp=sharing"",""แพร่!I409"")"),0)</f>
        <v>0</v>
      </c>
      <c r="J514" s="197">
        <f ca="1">IFERROR(__xludf.DUMMYFUNCTION("IMPORTRANGE(""https://docs.google.com/spreadsheets/d/11923uPwbBZFjjGgGUA6NLw09EwE0CqkOc4q9oUmW1yo/edit?usp=sharing"",""แพร่!J409"")"),0)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IFERROR(__xludf.DUMMYFUNCTION("IMPORTRANGE(""https://docs.google.com/spreadsheets/d/11923uPwbBZFjjGgGUA6NLw09EwE0CqkOc4q9oUmW1yo/edit?usp=sharing"",""แพร่!I410"")"),0)</f>
        <v>0</v>
      </c>
      <c r="J515" s="197">
        <f ca="1">IFERROR(__xludf.DUMMYFUNCTION("IMPORTRANGE(""https://docs.google.com/spreadsheets/d/11923uPwbBZFjjGgGUA6NLw09EwE0CqkOc4q9oUmW1yo/edit?usp=sharing"",""แพร่!J410"")"),0)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IFERROR(__xludf.DUMMYFUNCTION("IMPORTRANGE(""https://docs.google.com/spreadsheets/d/11923uPwbBZFjjGgGUA6NLw09EwE0CqkOc4q9oUmW1yo/edit?usp=sharing"",""แพร่!I411"")"),0)</f>
        <v>0</v>
      </c>
      <c r="J516" s="266">
        <f ca="1">IFERROR(__xludf.DUMMYFUNCTION("IMPORTRANGE(""https://docs.google.com/spreadsheets/d/11923uPwbBZFjjGgGUA6NLw09EwE0CqkOc4q9oUmW1yo/edit?usp=sharing"",""แพร่!J411"")"),0)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IFERROR(__xludf.DUMMYFUNCTION("IMPORTRANGE(""https://docs.google.com/spreadsheets/d/11923uPwbBZFjjGgGUA6NLw09EwE0CqkOc4q9oUmW1yo/edit?usp=sharing"",""แพร่!I412"")"),0)</f>
        <v>0</v>
      </c>
      <c r="J517" s="282">
        <f ca="1">IFERROR(__xludf.DUMMYFUNCTION("IMPORTRANGE(""https://docs.google.com/spreadsheets/d/11923uPwbBZFjjGgGUA6NLw09EwE0CqkOc4q9oUmW1yo/edit?usp=sharing"",""แพร่!J412"")"),0)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IFERROR(__xludf.DUMMYFUNCTION("IMPORTRANGE(""https://docs.google.com/spreadsheets/d/11923uPwbBZFjjGgGUA6NLw09EwE0CqkOc4q9oUmW1yo/edit?usp=sharing"",""แพร่!I413"")"),0)</f>
        <v>0</v>
      </c>
      <c r="J518" s="282">
        <f ca="1">IFERROR(__xludf.DUMMYFUNCTION("IMPORTRANGE(""https://docs.google.com/spreadsheets/d/11923uPwbBZFjjGgGUA6NLw09EwE0CqkOc4q9oUmW1yo/edit?usp=sharing"",""แพร่!J413"")"),0)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IFERROR(__xludf.DUMMYFUNCTION("IMPORTRANGE(""https://docs.google.com/spreadsheets/d/11923uPwbBZFjjGgGUA6NLw09EwE0CqkOc4q9oUmW1yo/edit?usp=sharing"",""แพร่!I414"")"),0)</f>
        <v>0</v>
      </c>
      <c r="J519" s="187">
        <f ca="1">IFERROR(__xludf.DUMMYFUNCTION("IMPORTRANGE(""https://docs.google.com/spreadsheets/d/11923uPwbBZFjjGgGUA6NLw09EwE0CqkOc4q9oUmW1yo/edit?usp=sharing"",""แพร่!J414"")"),0)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IFERROR(__xludf.DUMMYFUNCTION("IMPORTRANGE(""https://docs.google.com/spreadsheets/d/11923uPwbBZFjjGgGUA6NLw09EwE0CqkOc4q9oUmW1yo/edit?usp=sharing"",""แพร่!I415"")"),0)</f>
        <v>0</v>
      </c>
      <c r="J520" s="187">
        <f ca="1">IFERROR(__xludf.DUMMYFUNCTION("IMPORTRANGE(""https://docs.google.com/spreadsheets/d/11923uPwbBZFjjGgGUA6NLw09EwE0CqkOc4q9oUmW1yo/edit?usp=sharing"",""แพร่!J415"")"),0)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IFERROR(__xludf.DUMMYFUNCTION("IMPORTRANGE(""https://docs.google.com/spreadsheets/d/11923uPwbBZFjjGgGUA6NLw09EwE0CqkOc4q9oUmW1yo/edit?usp=sharing"",""แพร่!I416"")"),0)</f>
        <v>0</v>
      </c>
      <c r="J521" s="187">
        <f ca="1">IFERROR(__xludf.DUMMYFUNCTION("IMPORTRANGE(""https://docs.google.com/spreadsheets/d/11923uPwbBZFjjGgGUA6NLw09EwE0CqkOc4q9oUmW1yo/edit?usp=sharing"",""แพร่!J416"")"),0)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IFERROR(__xludf.DUMMYFUNCTION("IMPORTRANGE(""https://docs.google.com/spreadsheets/d/11923uPwbBZFjjGgGUA6NLw09EwE0CqkOc4q9oUmW1yo/edit?usp=sharing"",""แพร่!I417"")"),0)</f>
        <v>0</v>
      </c>
      <c r="J522" s="187">
        <f ca="1">IFERROR(__xludf.DUMMYFUNCTION("IMPORTRANGE(""https://docs.google.com/spreadsheets/d/11923uPwbBZFjjGgGUA6NLw09EwE0CqkOc4q9oUmW1yo/edit?usp=sharing"",""แพร่!J417"")"),0)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IFERROR(__xludf.DUMMYFUNCTION("IMPORTRANGE(""https://docs.google.com/spreadsheets/d/11923uPwbBZFjjGgGUA6NLw09EwE0CqkOc4q9oUmW1yo/edit?usp=sharing"",""แพร่!I418"")"),0)</f>
        <v>0</v>
      </c>
      <c r="J523" s="187">
        <f ca="1">IFERROR(__xludf.DUMMYFUNCTION("IMPORTRANGE(""https://docs.google.com/spreadsheets/d/11923uPwbBZFjjGgGUA6NLw09EwE0CqkOc4q9oUmW1yo/edit?usp=sharing"",""แพร่!J418"")"),14)</f>
        <v>14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IFERROR(__xludf.DUMMYFUNCTION("IMPORTRANGE(""https://docs.google.com/spreadsheets/d/11923uPwbBZFjjGgGUA6NLw09EwE0CqkOc4q9oUmW1yo/edit?usp=sharing"",""แพร่!I419"")"),0)</f>
        <v>0</v>
      </c>
      <c r="J524" s="187">
        <f ca="1">IFERROR(__xludf.DUMMYFUNCTION("IMPORTRANGE(""https://docs.google.com/spreadsheets/d/11923uPwbBZFjjGgGUA6NLw09EwE0CqkOc4q9oUmW1yo/edit?usp=sharing"",""แพร่!J419"")"),5)</f>
        <v>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IFERROR(__xludf.DUMMYFUNCTION("IMPORTRANGE(""https://docs.google.com/spreadsheets/d/11923uPwbBZFjjGgGUA6NLw09EwE0CqkOc4q9oUmW1yo/edit?usp=sharing"",""แพร่!I420"")"),14)</f>
        <v>14</v>
      </c>
      <c r="J525" s="282">
        <f ca="1">IFERROR(__xludf.DUMMYFUNCTION("IMPORTRANGE(""https://docs.google.com/spreadsheets/d/11923uPwbBZFjjGgGUA6NLw09EwE0CqkOc4q9oUmW1yo/edit?usp=sharing"",""แพร่!J420"")"),0)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IFERROR(__xludf.DUMMYFUNCTION("IMPORTRANGE(""https://docs.google.com/spreadsheets/d/11923uPwbBZFjjGgGUA6NLw09EwE0CqkOc4q9oUmW1yo/edit?usp=sharing"",""แพร่!I421"")"),5)</f>
        <v>5</v>
      </c>
      <c r="J526" s="282">
        <f ca="1">IFERROR(__xludf.DUMMYFUNCTION("IMPORTRANGE(""https://docs.google.com/spreadsheets/d/11923uPwbBZFjjGgGUA6NLw09EwE0CqkOc4q9oUmW1yo/edit?usp=sharing"",""แพร่!J421"")"),0)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IFERROR(__xludf.DUMMYFUNCTION("IMPORTRANGE(""https://docs.google.com/spreadsheets/d/11923uPwbBZFjjGgGUA6NLw09EwE0CqkOc4q9oUmW1yo/edit?usp=sharing"",""แพร่!I422"")"),0)</f>
        <v>0</v>
      </c>
      <c r="J527" s="197">
        <f ca="1">IFERROR(__xludf.DUMMYFUNCTION("IMPORTRANGE(""https://docs.google.com/spreadsheets/d/11923uPwbBZFjjGgGUA6NLw09EwE0CqkOc4q9oUmW1yo/edit?usp=sharing"",""แพร่!J422"")"),0)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IFERROR(__xludf.DUMMYFUNCTION("IMPORTRANGE(""https://docs.google.com/spreadsheets/d/11923uPwbBZFjjGgGUA6NLw09EwE0CqkOc4q9oUmW1yo/edit?usp=sharing"",""แพร่!I423"")"),0)</f>
        <v>0</v>
      </c>
      <c r="J528" s="197">
        <f ca="1">IFERROR(__xludf.DUMMYFUNCTION("IMPORTRANGE(""https://docs.google.com/spreadsheets/d/11923uPwbBZFjjGgGUA6NLw09EwE0CqkOc4q9oUmW1yo/edit?usp=sharing"",""แพร่!J423"")"),0)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IFERROR(__xludf.DUMMYFUNCTION("IMPORTRANGE(""https://docs.google.com/spreadsheets/d/11923uPwbBZFjjGgGUA6NLw09EwE0CqkOc4q9oUmW1yo/edit?usp=sharing"",""แพร่!I424"")"),0)</f>
        <v>0</v>
      </c>
      <c r="J529" s="197">
        <f ca="1">IFERROR(__xludf.DUMMYFUNCTION("IMPORTRANGE(""https://docs.google.com/spreadsheets/d/11923uPwbBZFjjGgGUA6NLw09EwE0CqkOc4q9oUmW1yo/edit?usp=sharing"",""แพร่!J424"")"),0)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IFERROR(__xludf.DUMMYFUNCTION("IMPORTRANGE(""https://docs.google.com/spreadsheets/d/11923uPwbBZFjjGgGUA6NLw09EwE0CqkOc4q9oUmW1yo/edit?usp=sharing"",""แพร่!I425"")"),0)</f>
        <v>0</v>
      </c>
      <c r="J530" s="197">
        <f ca="1">IFERROR(__xludf.DUMMYFUNCTION("IMPORTRANGE(""https://docs.google.com/spreadsheets/d/11923uPwbBZFjjGgGUA6NLw09EwE0CqkOc4q9oUmW1yo/edit?usp=sharing"",""แพร่!J425"")"),0)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IFERROR(__xludf.DUMMYFUNCTION("IMPORTRANGE(""https://docs.google.com/spreadsheets/d/11923uPwbBZFjjGgGUA6NLw09EwE0CqkOc4q9oUmW1yo/edit?usp=sharing"",""แพร่!I426"")"),0)</f>
        <v>0</v>
      </c>
      <c r="J531" s="197">
        <f ca="1">IFERROR(__xludf.DUMMYFUNCTION("IMPORTRANGE(""https://docs.google.com/spreadsheets/d/11923uPwbBZFjjGgGUA6NLw09EwE0CqkOc4q9oUmW1yo/edit?usp=sharing"",""แพร่!J426"")"),0)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IFERROR(__xludf.DUMMYFUNCTION("IMPORTRANGE(""https://docs.google.com/spreadsheets/d/11923uPwbBZFjjGgGUA6NLw09EwE0CqkOc4q9oUmW1yo/edit?usp=sharing"",""แพร่!I427"")"),0)</f>
        <v>0</v>
      </c>
      <c r="J532" s="464">
        <f ca="1">IFERROR(__xludf.DUMMYFUNCTION("IMPORTRANGE(""https://docs.google.com/spreadsheets/d/11923uPwbBZFjjGgGUA6NLw09EwE0CqkOc4q9oUmW1yo/edit?usp=sharing"",""แพร่!J427"")"),0)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IFERROR(__xludf.DUMMYFUNCTION("IMPORTRANGE(""https://docs.google.com/spreadsheets/d/11923uPwbBZFjjGgGUA6NLw09EwE0CqkOc4q9oUmW1yo/edit?usp=sharing"",""แพร่!I428"")"),22)</f>
        <v>22</v>
      </c>
      <c r="J533" s="408">
        <f ca="1">IFERROR(__xludf.DUMMYFUNCTION("IMPORTRANGE(""https://docs.google.com/spreadsheets/d/11923uPwbBZFjjGgGUA6NLw09EwE0CqkOc4q9oUmW1yo/edit?usp=sharing"",""แพร่!J428"")"),22)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IFERROR(__xludf.DUMMYFUNCTION("IMPORTRANGE(""https://docs.google.com/spreadsheets/d/11923uPwbBZFjjGgGUA6NLw09EwE0CqkOc4q9oUmW1yo/edit?usp=sharing"",""แพร่!L428"")"),34340)</f>
        <v>34340</v>
      </c>
      <c r="M533" s="410"/>
      <c r="N533" s="410">
        <f ca="1">IFERROR(__xludf.DUMMYFUNCTION("IMPORTRANGE(""https://docs.google.com/spreadsheets/d/11923uPwbBZFjjGgGUA6NLw09EwE0CqkOc4q9oUmW1yo/edit?usp=sharing"",""แพร่!M428"")"),21312)</f>
        <v>21312</v>
      </c>
      <c r="O533" s="410">
        <f t="shared" ref="O533:O537" ca="1" si="118">+IF(L533&gt;0,N533*100/L533,0)</f>
        <v>62.061735585323241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IFERROR(__xludf.DUMMYFUNCTION("IMPORTRANGE(""https://docs.google.com/spreadsheets/d/11923uPwbBZFjjGgGUA6NLw09EwE0CqkOc4q9oUmW1yo/edit?usp=sharing"",""แพร่!L429"")"),0)</f>
        <v>0</v>
      </c>
      <c r="M534" s="164"/>
      <c r="N534" s="168">
        <f ca="1">IFERROR(__xludf.DUMMYFUNCTION("IMPORTRANGE(""https://docs.google.com/spreadsheets/d/11923uPwbBZFjjGgGUA6NLw09EwE0CqkOc4q9oUmW1yo/edit?usp=sharing"",""แพร่!M429"")"),0)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IFERROR(__xludf.DUMMYFUNCTION("IMPORTRANGE(""https://docs.google.com/spreadsheets/d/11923uPwbBZFjjGgGUA6NLw09EwE0CqkOc4q9oUmW1yo/edit?usp=sharing"",""แพร่!L430"")"),34340)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IFERROR(__xludf.DUMMYFUNCTION("IMPORTRANGE(""https://docs.google.com/spreadsheets/d/11923uPwbBZFjjGgGUA6NLw09EwE0CqkOc4q9oUmW1yo/edit?usp=sharing"",""แพร่!M430"")"),21312)</f>
        <v>21312</v>
      </c>
      <c r="O535" s="168">
        <f t="shared" ca="1" si="118"/>
        <v>62.061735585323241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IFERROR(__xludf.DUMMYFUNCTION("IMPORTRANGE(""https://docs.google.com/spreadsheets/d/11923uPwbBZFjjGgGUA6NLw09EwE0CqkOc4q9oUmW1yo/edit?usp=sharing"",""แพร่!L431"")"),0)</f>
        <v>0</v>
      </c>
      <c r="M536" s="168"/>
      <c r="N536" s="168">
        <f ca="1">IFERROR(__xludf.DUMMYFUNCTION("IMPORTRANGE(""https://docs.google.com/spreadsheets/d/11923uPwbBZFjjGgGUA6NLw09EwE0CqkOc4q9oUmW1yo/edit?usp=sharing"",""แพร่!M431"")"),0)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IFERROR(__xludf.DUMMYFUNCTION("IMPORTRANGE(""https://docs.google.com/spreadsheets/d/11923uPwbBZFjjGgGUA6NLw09EwE0CqkOc4q9oUmW1yo/edit?usp=sharing"",""แพร่!L432"")"),34340)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IFERROR(__xludf.DUMMYFUNCTION("IMPORTRANGE(""https://docs.google.com/spreadsheets/d/11923uPwbBZFjjGgGUA6NLw09EwE0CqkOc4q9oUmW1yo/edit?usp=sharing"",""แพร่!M432"")"),21312)</f>
        <v>21312</v>
      </c>
      <c r="O537" s="168">
        <f t="shared" ca="1" si="118"/>
        <v>62.061735585323241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IFERROR(__xludf.DUMMYFUNCTION("IMPORTRANGE(""https://docs.google.com/spreadsheets/d/11923uPwbBZFjjGgGUA6NLw09EwE0CqkOc4q9oUmW1yo/edit?usp=sharing"",""แพร่!M433"")"),17860)</f>
        <v>17860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IFERROR(__xludf.DUMMYFUNCTION("IMPORTRANGE(""https://docs.google.com/spreadsheets/d/11923uPwbBZFjjGgGUA6NLw09EwE0CqkOc4q9oUmW1yo/edit?usp=sharing"",""แพร่!M434"")"),0)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IFERROR(__xludf.DUMMYFUNCTION("IMPORTRANGE(""https://docs.google.com/spreadsheets/d/11923uPwbBZFjjGgGUA6NLw09EwE0CqkOc4q9oUmW1yo/edit?usp=sharing"",""แพร่!M435"")"),0)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IFERROR(__xludf.DUMMYFUNCTION("IMPORTRANGE(""https://docs.google.com/spreadsheets/d/11923uPwbBZFjjGgGUA6NLw09EwE0CqkOc4q9oUmW1yo/edit?usp=sharing"",""แพร่!M436"")"),3452)</f>
        <v>3452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IFERROR(__xludf.DUMMYFUNCTION("IMPORTRANGE(""https://docs.google.com/spreadsheets/d/11923uPwbBZFjjGgGUA6NLw09EwE0CqkOc4q9oUmW1yo/edit?usp=sharing"",""แพร่!J438"")"),0)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IFERROR(__xludf.DUMMYFUNCTION("IMPORTRANGE(""https://docs.google.com/spreadsheets/d/11923uPwbBZFjjGgGUA6NLw09EwE0CqkOc4q9oUmW1yo/edit?usp=sharing"",""แพร่!J439"")"),1)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IFERROR(__xludf.DUMMYFUNCTION("IMPORTRANGE(""https://docs.google.com/spreadsheets/d/11923uPwbBZFjjGgGUA6NLw09EwE0CqkOc4q9oUmW1yo/edit?usp=sharing"",""แพร่!J440"")"),1)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IFERROR(__xludf.DUMMYFUNCTION("IMPORTRANGE(""https://docs.google.com/spreadsheets/d/11923uPwbBZFjjGgGUA6NLw09EwE0CqkOc4q9oUmW1yo/edit?usp=sharing"",""แพร่!J441"")"),1)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IFERROR(__xludf.DUMMYFUNCTION("IMPORTRANGE(""https://docs.google.com/spreadsheets/d/11923uPwbBZFjjGgGUA6NLw09EwE0CqkOc4q9oUmW1yo/edit?usp=sharing"",""แพร่!I442"")"),22)</f>
        <v>22</v>
      </c>
      <c r="J547" s="188">
        <f ca="1">IFERROR(__xludf.DUMMYFUNCTION("IMPORTRANGE(""https://docs.google.com/spreadsheets/d/11923uPwbBZFjjGgGUA6NLw09EwE0CqkOc4q9oUmW1yo/edit?usp=sharing"",""แพร่!J442"")"),22)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IFERROR(__xludf.DUMMYFUNCTION("IMPORTRANGE(""https://docs.google.com/spreadsheets/d/11923uPwbBZFjjGgGUA6NLw09EwE0CqkOc4q9oUmW1yo/edit?usp=sharing"",""แพร่!J166"")"),0)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IFERROR(__xludf.DUMMYFUNCTION("IMPORTRANGE(""https://docs.google.com/spreadsheets/d/11923uPwbBZFjjGgGUA6NLw09EwE0CqkOc4q9oUmW1yo/edit?usp=sharing"",""แพร่!J444"")"),0)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IFERROR(__xludf.DUMMYFUNCTION("IMPORTRANGE(""https://docs.google.com/spreadsheets/d/11923uPwbBZFjjGgGUA6NLw09EwE0CqkOc4q9oUmW1yo/edit?usp=sharing"",""แพร่!J445"")"),0)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IFERROR(__xludf.DUMMYFUNCTION("IMPORTRANGE(""https://docs.google.com/spreadsheets/d/11923uPwbBZFjjGgGUA6NLw09EwE0CqkOc4q9oUmW1yo/edit?usp=sharing"",""แพร่!I446"")"),0)</f>
        <v>0</v>
      </c>
      <c r="J551" s="408">
        <f ca="1">IFERROR(__xludf.DUMMYFUNCTION("IMPORTRANGE(""https://docs.google.com/spreadsheets/d/11923uPwbBZFjjGgGUA6NLw09EwE0CqkOc4q9oUmW1yo/edit?usp=sharing"",""แพร่!J446"")"),0)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IFERROR(__xludf.DUMMYFUNCTION("IMPORTRANGE(""https://docs.google.com/spreadsheets/d/11923uPwbBZFjjGgGUA6NLw09EwE0CqkOc4q9oUmW1yo/edit?usp=sharing"",""แพร่!L446"")"),0)</f>
        <v>0</v>
      </c>
      <c r="M551" s="410"/>
      <c r="N551" s="410">
        <f ca="1">IFERROR(__xludf.DUMMYFUNCTION("IMPORTRANGE(""https://docs.google.com/spreadsheets/d/11923uPwbBZFjjGgGUA6NLw09EwE0CqkOc4q9oUmW1yo/edit?usp=sharing"",""แพร่!M446"")"),0)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IFERROR(__xludf.DUMMYFUNCTION("IMPORTRANGE(""https://docs.google.com/spreadsheets/d/11923uPwbBZFjjGgGUA6NLw09EwE0CqkOc4q9oUmW1yo/edit?usp=sharing"",""แพร่!L447"")"),0)</f>
        <v>0</v>
      </c>
      <c r="M552" s="164"/>
      <c r="N552" s="168">
        <f ca="1">IFERROR(__xludf.DUMMYFUNCTION("IMPORTRANGE(""https://docs.google.com/spreadsheets/d/11923uPwbBZFjjGgGUA6NLw09EwE0CqkOc4q9oUmW1yo/edit?usp=sharing"",""แพร่!M447"")"),0)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IFERROR(__xludf.DUMMYFUNCTION("IMPORTRANGE(""https://docs.google.com/spreadsheets/d/11923uPwbBZFjjGgGUA6NLw09EwE0CqkOc4q9oUmW1yo/edit?usp=sharing"",""แพร่!L448"")"),0)</f>
        <v>0</v>
      </c>
      <c r="M553" s="165"/>
      <c r="N553" s="168">
        <f ca="1">IFERROR(__xludf.DUMMYFUNCTION("IMPORTRANGE(""https://docs.google.com/spreadsheets/d/11923uPwbBZFjjGgGUA6NLw09EwE0CqkOc4q9oUmW1yo/edit?usp=sharing"",""แพร่!M448"")"),0)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IFERROR(__xludf.DUMMYFUNCTION("IMPORTRANGE(""https://docs.google.com/spreadsheets/d/11923uPwbBZFjjGgGUA6NLw09EwE0CqkOc4q9oUmW1yo/edit?usp=sharing"",""แพร่!L449"")"),0)</f>
        <v>0</v>
      </c>
      <c r="M554" s="168"/>
      <c r="N554" s="168">
        <f ca="1">IFERROR(__xludf.DUMMYFUNCTION("IMPORTRANGE(""https://docs.google.com/spreadsheets/d/11923uPwbBZFjjGgGUA6NLw09EwE0CqkOc4q9oUmW1yo/edit?usp=sharing"",""แพร่!M449"")"),0)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IFERROR(__xludf.DUMMYFUNCTION("IMPORTRANGE(""https://docs.google.com/spreadsheets/d/11923uPwbBZFjjGgGUA6NLw09EwE0CqkOc4q9oUmW1yo/edit?usp=sharing"",""แพร่!L450"")"),0)</f>
        <v>0</v>
      </c>
      <c r="M555" s="168"/>
      <c r="N555" s="168">
        <f ca="1">IFERROR(__xludf.DUMMYFUNCTION("IMPORTRANGE(""https://docs.google.com/spreadsheets/d/11923uPwbBZFjjGgGUA6NLw09EwE0CqkOc4q9oUmW1yo/edit?usp=sharing"",""แพร่!M450"")"),0)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IFERROR(__xludf.DUMMYFUNCTION("IMPORTRANGE(""https://docs.google.com/spreadsheets/d/11923uPwbBZFjjGgGUA6NLw09EwE0CqkOc4q9oUmW1yo/edit?usp=sharing"",""แพร่!M451"")"),0)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IFERROR(__xludf.DUMMYFUNCTION("IMPORTRANGE(""https://docs.google.com/spreadsheets/d/11923uPwbBZFjjGgGUA6NLw09EwE0CqkOc4q9oUmW1yo/edit?usp=sharing"",""แพร่!M452"")"),0)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IFERROR(__xludf.DUMMYFUNCTION("IMPORTRANGE(""https://docs.google.com/spreadsheets/d/11923uPwbBZFjjGgGUA6NLw09EwE0CqkOc4q9oUmW1yo/edit?usp=sharing"",""แพร่!M453"")"),0)</f>
        <v>0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IFERROR(__xludf.DUMMYFUNCTION("IMPORTRANGE(""https://docs.google.com/spreadsheets/d/11923uPwbBZFjjGgGUA6NLw09EwE0CqkOc4q9oUmW1yo/edit?usp=sharing"",""แพร่!M454"")"),0)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IFERROR(__xludf.DUMMYFUNCTION("IMPORTRANGE(""https://docs.google.com/spreadsheets/d/11923uPwbBZFjjGgGUA6NLw09EwE0CqkOc4q9oUmW1yo/edit?usp=sharing"",""แพร่!I455"")"),0)</f>
        <v>0</v>
      </c>
      <c r="J560" s="162">
        <f ca="1">IFERROR(__xludf.DUMMYFUNCTION("IMPORTRANGE(""https://docs.google.com/spreadsheets/d/11923uPwbBZFjjGgGUA6NLw09EwE0CqkOc4q9oUmW1yo/edit?usp=sharing"",""แพร่!J455"")"),0)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IFERROR(__xludf.DUMMYFUNCTION("IMPORTRANGE(""https://docs.google.com/spreadsheets/d/11923uPwbBZFjjGgGUA6NLw09EwE0CqkOc4q9oUmW1yo/edit?usp=sharing"",""แพร่!I456"")"),0)</f>
        <v>0</v>
      </c>
      <c r="J561" s="203">
        <f ca="1">IFERROR(__xludf.DUMMYFUNCTION("IMPORTRANGE(""https://docs.google.com/spreadsheets/d/11923uPwbBZFjjGgGUA6NLw09EwE0CqkOc4q9oUmW1yo/edit?usp=sharing"",""แพร่!J456"")"),0)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f ca="1">IFERROR(__xludf.DUMMYFUNCTION("IMPORTRANGE(""https://docs.google.com/spreadsheets/d/11923uPwbBZFjjGgGUA6NLw09EwE0CqkOc4q9oUmW1yo/edit?usp=sharing"",""แพร่!I457"")"),0)</f>
        <v>0</v>
      </c>
      <c r="J562" s="203" t="str">
        <f ca="1">IFERROR(__xludf.DUMMYFUNCTION("IMPORTRANGE(""https://docs.google.com/spreadsheets/d/11923uPwbBZFjjGgGUA6NLw09EwE0CqkOc4q9oUmW1yo/edit?usp=sharing"",""แพร่!J457"")"),"")</f>
        <v/>
      </c>
      <c r="K562" s="163">
        <f t="shared" ca="1" si="121"/>
        <v>0</v>
      </c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f ca="1">IFERROR(__xludf.DUMMYFUNCTION("IMPORTRANGE(""https://docs.google.com/spreadsheets/d/11923uPwbBZFjjGgGUA6NLw09EwE0CqkOc4q9oUmW1yo/edit?usp=sharing"",""แพร่!I458"")"),0)</f>
        <v>0</v>
      </c>
      <c r="J563" s="187" t="str">
        <f ca="1">IFERROR(__xludf.DUMMYFUNCTION("IMPORTRANGE(""https://docs.google.com/spreadsheets/d/11923uPwbBZFjjGgGUA6NLw09EwE0CqkOc4q9oUmW1yo/edit?usp=sharing"",""แพร่!J458"")"),"")</f>
        <v/>
      </c>
      <c r="K563" s="163">
        <f t="shared" ca="1" si="121"/>
        <v>0</v>
      </c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IFERROR(__xludf.DUMMYFUNCTION("IMPORTRANGE(""https://docs.google.com/spreadsheets/d/11923uPwbBZFjjGgGUA6NLw09EwE0CqkOc4q9oUmW1yo/edit?usp=sharing"",""แพร่!I459"")"),1200)</f>
        <v>1200</v>
      </c>
      <c r="J564" s="369">
        <f ca="1">IFERROR(__xludf.DUMMYFUNCTION("IMPORTRANGE(""https://docs.google.com/spreadsheets/d/11923uPwbBZFjjGgGUA6NLw09EwE0CqkOc4q9oUmW1yo/edit?usp=sharing"",""แพร่!J459"")"),1384)</f>
        <v>1384</v>
      </c>
      <c r="K564" s="370">
        <f t="shared" ca="1" si="121"/>
        <v>115.33333333333333</v>
      </c>
      <c r="L564" s="371">
        <f ca="1">IFERROR(__xludf.DUMMYFUNCTION("IMPORTRANGE(""https://docs.google.com/spreadsheets/d/11923uPwbBZFjjGgGUA6NLw09EwE0CqkOc4q9oUmW1yo/edit?usp=sharing"",""แพร่!L459"")"),126480)</f>
        <v>126480</v>
      </c>
      <c r="M564" s="371"/>
      <c r="N564" s="371">
        <f ca="1">IFERROR(__xludf.DUMMYFUNCTION("IMPORTRANGE(""https://docs.google.com/spreadsheets/d/11923uPwbBZFjjGgGUA6NLw09EwE0CqkOc4q9oUmW1yo/edit?usp=sharing"",""แพร่!M459"")"),34113)</f>
        <v>34113</v>
      </c>
      <c r="O564" s="371">
        <f t="shared" ref="O564:O568" ca="1" si="122">+IF(L564&gt;0,N564*100/L564,0)</f>
        <v>26.971062618595827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IFERROR(__xludf.DUMMYFUNCTION("IMPORTRANGE(""https://docs.google.com/spreadsheets/d/11923uPwbBZFjjGgGUA6NLw09EwE0CqkOc4q9oUmW1yo/edit?usp=sharing"",""แพร่!L460"")"),0)</f>
        <v>0</v>
      </c>
      <c r="M565" s="164"/>
      <c r="N565" s="168">
        <f ca="1">IFERROR(__xludf.DUMMYFUNCTION("IMPORTRANGE(""https://docs.google.com/spreadsheets/d/11923uPwbBZFjjGgGUA6NLw09EwE0CqkOc4q9oUmW1yo/edit?usp=sharing"",""แพร่!M460"")"),0)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IFERROR(__xludf.DUMMYFUNCTION("IMPORTRANGE(""https://docs.google.com/spreadsheets/d/11923uPwbBZFjjGgGUA6NLw09EwE0CqkOc4q9oUmW1yo/edit?usp=sharing"",""แพร่!L461"")"),126480)</f>
        <v>126480</v>
      </c>
      <c r="M566" s="165"/>
      <c r="N566" s="168">
        <f ca="1">IFERROR(__xludf.DUMMYFUNCTION("IMPORTRANGE(""https://docs.google.com/spreadsheets/d/11923uPwbBZFjjGgGUA6NLw09EwE0CqkOc4q9oUmW1yo/edit?usp=sharing"",""แพร่!M461"")"),34113)</f>
        <v>34113</v>
      </c>
      <c r="O566" s="168">
        <f t="shared" ca="1" si="122"/>
        <v>26.971062618595827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IFERROR(__xludf.DUMMYFUNCTION("IMPORTRANGE(""https://docs.google.com/spreadsheets/d/11923uPwbBZFjjGgGUA6NLw09EwE0CqkOc4q9oUmW1yo/edit?usp=sharing"",""แพร่!L462"")"),0)</f>
        <v>0</v>
      </c>
      <c r="M567" s="168"/>
      <c r="N567" s="168">
        <f ca="1">IFERROR(__xludf.DUMMYFUNCTION("IMPORTRANGE(""https://docs.google.com/spreadsheets/d/11923uPwbBZFjjGgGUA6NLw09EwE0CqkOc4q9oUmW1yo/edit?usp=sharing"",""แพร่!M462"")"),0)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IFERROR(__xludf.DUMMYFUNCTION("IMPORTRANGE(""https://docs.google.com/spreadsheets/d/11923uPwbBZFjjGgGUA6NLw09EwE0CqkOc4q9oUmW1yo/edit?usp=sharing"",""แพร่!L463"")"),126480)</f>
        <v>126480</v>
      </c>
      <c r="M568" s="168"/>
      <c r="N568" s="168">
        <f ca="1">IFERROR(__xludf.DUMMYFUNCTION("IMPORTRANGE(""https://docs.google.com/spreadsheets/d/11923uPwbBZFjjGgGUA6NLw09EwE0CqkOc4q9oUmW1yo/edit?usp=sharing"",""แพร่!M463"")"),34113)</f>
        <v>34113</v>
      </c>
      <c r="O568" s="168">
        <f t="shared" ca="1" si="122"/>
        <v>26.971062618595827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IFERROR(__xludf.DUMMYFUNCTION("IMPORTRANGE(""https://docs.google.com/spreadsheets/d/11923uPwbBZFjjGgGUA6NLw09EwE0CqkOc4q9oUmW1yo/edit?usp=sharing"",""แพร่!M464"")"),0)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IFERROR(__xludf.DUMMYFUNCTION("IMPORTRANGE(""https://docs.google.com/spreadsheets/d/11923uPwbBZFjjGgGUA6NLw09EwE0CqkOc4q9oUmW1yo/edit?usp=sharing"",""แพร่!M465"")"),0)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IFERROR(__xludf.DUMMYFUNCTION("IMPORTRANGE(""https://docs.google.com/spreadsheets/d/11923uPwbBZFjjGgGUA6NLw09EwE0CqkOc4q9oUmW1yo/edit?usp=sharing"",""แพร่!M466"")"),20899)</f>
        <v>20899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IFERROR(__xludf.DUMMYFUNCTION("IMPORTRANGE(""https://docs.google.com/spreadsheets/d/11923uPwbBZFjjGgGUA6NLw09EwE0CqkOc4q9oUmW1yo/edit?usp=sharing"",""แพร่!M467"")"),13214)</f>
        <v>13214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IFERROR(__xludf.DUMMYFUNCTION("IMPORTRANGE(""https://docs.google.com/spreadsheets/d/11923uPwbBZFjjGgGUA6NLw09EwE0CqkOc4q9oUmW1yo/edit?usp=sharing"",""แพร่!I468"")"),1200)</f>
        <v>1200</v>
      </c>
      <c r="J573" s="418">
        <f ca="1">IFERROR(__xludf.DUMMYFUNCTION("IMPORTRANGE(""https://docs.google.com/spreadsheets/d/11923uPwbBZFjjGgGUA6NLw09EwE0CqkOc4q9oUmW1yo/edit?usp=sharing"",""แพร่!J468"")"),1384)</f>
        <v>1384</v>
      </c>
      <c r="K573" s="201">
        <f ca="1">IF(I573&gt;0,J573*100/I573,0)</f>
        <v>115.33333333333333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IFERROR(__xludf.DUMMYFUNCTION("IMPORTRANGE(""https://docs.google.com/spreadsheets/d/11923uPwbBZFjjGgGUA6NLw09EwE0CqkOc4q9oUmW1yo/edit?usp=sharing"",""แพร่!I470"")"),0)</f>
        <v>0</v>
      </c>
      <c r="J575" s="197">
        <f ca="1">IFERROR(__xludf.DUMMYFUNCTION("IMPORTRANGE(""https://docs.google.com/spreadsheets/d/11923uPwbBZFjjGgGUA6NLw09EwE0CqkOc4q9oUmW1yo/edit?usp=sharing"",""แพร่!J470"")"),5)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IFERROR(__xludf.DUMMYFUNCTION("IMPORTRANGE(""https://docs.google.com/spreadsheets/d/11923uPwbBZFjjGgGUA6NLw09EwE0CqkOc4q9oUmW1yo/edit?usp=sharing"",""แพร่!I471"")"),0)</f>
        <v>0</v>
      </c>
      <c r="J576" s="197">
        <f ca="1">IFERROR(__xludf.DUMMYFUNCTION("IMPORTRANGE(""https://docs.google.com/spreadsheets/d/11923uPwbBZFjjGgGUA6NLw09EwE0CqkOc4q9oUmW1yo/edit?usp=sharing"",""แพร่!J471"")"),263)</f>
        <v>263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IFERROR(__xludf.DUMMYFUNCTION("IMPORTRANGE(""https://docs.google.com/spreadsheets/d/11923uPwbBZFjjGgGUA6NLw09EwE0CqkOc4q9oUmW1yo/edit?usp=sharing"",""แพร่!I472"")"),0)</f>
        <v>0</v>
      </c>
      <c r="J577" s="188">
        <f ca="1">IFERROR(__xludf.DUMMYFUNCTION("IMPORTRANGE(""https://docs.google.com/spreadsheets/d/11923uPwbBZFjjGgGUA6NLw09EwE0CqkOc4q9oUmW1yo/edit?usp=sharing"",""แพร่!J472"")"),1121)</f>
        <v>1121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IFERROR(__xludf.DUMMYFUNCTION("IMPORTRANGE(""https://docs.google.com/spreadsheets/d/11923uPwbBZFjjGgGUA6NLw09EwE0CqkOc4q9oUmW1yo/edit?usp=sharing"",""แพร่!I473"")"),0)</f>
        <v>0</v>
      </c>
      <c r="J578" s="197">
        <f ca="1">IFERROR(__xludf.DUMMYFUNCTION("IMPORTRANGE(""https://docs.google.com/spreadsheets/d/11923uPwbBZFjjGgGUA6NLw09EwE0CqkOc4q9oUmW1yo/edit?usp=sharing"",""แพร่!J473"")"),0)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IFERROR(__xludf.DUMMYFUNCTION("IMPORTRANGE(""https://docs.google.com/spreadsheets/d/11923uPwbBZFjjGgGUA6NLw09EwE0CqkOc4q9oUmW1yo/edit?usp=sharing"",""แพร่!I474"")"),0)</f>
        <v>0</v>
      </c>
      <c r="J579" s="197">
        <f ca="1">IFERROR(__xludf.DUMMYFUNCTION("IMPORTRANGE(""https://docs.google.com/spreadsheets/d/11923uPwbBZFjjGgGUA6NLw09EwE0CqkOc4q9oUmW1yo/edit?usp=sharing"",""แพร่!J474"")"),0)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IFERROR(__xludf.DUMMYFUNCTION("IMPORTRANGE(""https://docs.google.com/spreadsheets/d/11923uPwbBZFjjGgGUA6NLw09EwE0CqkOc4q9oUmW1yo/edit?usp=sharing"",""แพร่!I475"")"),0)</f>
        <v>0</v>
      </c>
      <c r="J580" s="369">
        <f ca="1">IFERROR(__xludf.DUMMYFUNCTION("IMPORTRANGE(""https://docs.google.com/spreadsheets/d/11923uPwbBZFjjGgGUA6NLw09EwE0CqkOc4q9oUmW1yo/edit?usp=sharing"",""แพร่!J475"")"),2)</f>
        <v>2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IFERROR(__xludf.DUMMYFUNCTION("IMPORTRANGE(""https://docs.google.com/spreadsheets/d/11923uPwbBZFjjGgGUA6NLw09EwE0CqkOc4q9oUmW1yo/edit?usp=sharing"",""แพร่!L475"")"),0)</f>
        <v>0</v>
      </c>
      <c r="M580" s="371"/>
      <c r="N580" s="371">
        <f ca="1">IFERROR(__xludf.DUMMYFUNCTION("IMPORTRANGE(""https://docs.google.com/spreadsheets/d/11923uPwbBZFjjGgGUA6NLw09EwE0CqkOc4q9oUmW1yo/edit?usp=sharing"",""แพร่!M475"")"),0)</f>
        <v>0</v>
      </c>
      <c r="O580" s="371">
        <f t="shared" ref="O580:O584" ca="1" si="124">+IF(L580&gt;0,N580*100/L580,0)</f>
        <v>0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IFERROR(__xludf.DUMMYFUNCTION("IMPORTRANGE(""https://docs.google.com/spreadsheets/d/11923uPwbBZFjjGgGUA6NLw09EwE0CqkOc4q9oUmW1yo/edit?usp=sharing"",""แพร่!L476"")"),0)</f>
        <v>0</v>
      </c>
      <c r="M581" s="164"/>
      <c r="N581" s="168">
        <f ca="1">IFERROR(__xludf.DUMMYFUNCTION("IMPORTRANGE(""https://docs.google.com/spreadsheets/d/11923uPwbBZFjjGgGUA6NLw09EwE0CqkOc4q9oUmW1yo/edit?usp=sharing"",""แพร่!M476"")"),0)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IFERROR(__xludf.DUMMYFUNCTION("IMPORTRANGE(""https://docs.google.com/spreadsheets/d/11923uPwbBZFjjGgGUA6NLw09EwE0CqkOc4q9oUmW1yo/edit?usp=sharing"",""แพร่!L477"")"),0)</f>
        <v>0</v>
      </c>
      <c r="M582" s="165"/>
      <c r="N582" s="168">
        <f ca="1">IFERROR(__xludf.DUMMYFUNCTION("IMPORTRANGE(""https://docs.google.com/spreadsheets/d/11923uPwbBZFjjGgGUA6NLw09EwE0CqkOc4q9oUmW1yo/edit?usp=sharing"",""แพร่!M477"")"),0)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IFERROR(__xludf.DUMMYFUNCTION("IMPORTRANGE(""https://docs.google.com/spreadsheets/d/11923uPwbBZFjjGgGUA6NLw09EwE0CqkOc4q9oUmW1yo/edit?usp=sharing"",""แพร่!L478"")"),0)</f>
        <v>0</v>
      </c>
      <c r="M583" s="168"/>
      <c r="N583" s="168">
        <f ca="1">IFERROR(__xludf.DUMMYFUNCTION("IMPORTRANGE(""https://docs.google.com/spreadsheets/d/11923uPwbBZFjjGgGUA6NLw09EwE0CqkOc4q9oUmW1yo/edit?usp=sharing"",""แพร่!M478"")"),0)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IFERROR(__xludf.DUMMYFUNCTION("IMPORTRANGE(""https://docs.google.com/spreadsheets/d/11923uPwbBZFjjGgGUA6NLw09EwE0CqkOc4q9oUmW1yo/edit?usp=sharing"",""แพร่!L479"")"),0)</f>
        <v>0</v>
      </c>
      <c r="M584" s="168"/>
      <c r="N584" s="168">
        <f ca="1">IFERROR(__xludf.DUMMYFUNCTION("IMPORTRANGE(""https://docs.google.com/spreadsheets/d/11923uPwbBZFjjGgGUA6NLw09EwE0CqkOc4q9oUmW1yo/edit?usp=sharing"",""แพร่!M479"")"),0)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IFERROR(__xludf.DUMMYFUNCTION("IMPORTRANGE(""https://docs.google.com/spreadsheets/d/11923uPwbBZFjjGgGUA6NLw09EwE0CqkOc4q9oUmW1yo/edit?usp=sharing"",""แพร่!M480"")"),0)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IFERROR(__xludf.DUMMYFUNCTION("IMPORTRANGE(""https://docs.google.com/spreadsheets/d/11923uPwbBZFjjGgGUA6NLw09EwE0CqkOc4q9oUmW1yo/edit?usp=sharing"",""แพร่!M481"")"),0)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IFERROR(__xludf.DUMMYFUNCTION("IMPORTRANGE(""https://docs.google.com/spreadsheets/d/11923uPwbBZFjjGgGUA6NLw09EwE0CqkOc4q9oUmW1yo/edit?usp=sharing"",""แพร่!M482"")"),0)</f>
        <v>0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IFERROR(__xludf.DUMMYFUNCTION("IMPORTRANGE(""https://docs.google.com/spreadsheets/d/11923uPwbBZFjjGgGUA6NLw09EwE0CqkOc4q9oUmW1yo/edit?usp=sharing"",""แพร่!M483"")"),0)</f>
        <v>0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IFERROR(__xludf.DUMMYFUNCTION("IMPORTRANGE(""https://docs.google.com/spreadsheets/d/11923uPwbBZFjjGgGUA6NLw09EwE0CqkOc4q9oUmW1yo/edit?usp=sharing"",""แพร่!I484"")"),0)</f>
        <v>0</v>
      </c>
      <c r="J589" s="187">
        <f ca="1">IFERROR(__xludf.DUMMYFUNCTION("IMPORTRANGE(""https://docs.google.com/spreadsheets/d/11923uPwbBZFjjGgGUA6NLw09EwE0CqkOc4q9oUmW1yo/edit?usp=sharing"",""แพร่!J484"")"),2)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IFERROR(__xludf.DUMMYFUNCTION("IMPORTRANGE(""https://docs.google.com/spreadsheets/d/11923uPwbBZFjjGgGUA6NLw09EwE0CqkOc4q9oUmW1yo/edit?usp=sharing"",""แพร่!I485"")"),0)</f>
        <v>0</v>
      </c>
      <c r="J590" s="187">
        <f ca="1">IFERROR(__xludf.DUMMYFUNCTION("IMPORTRANGE(""https://docs.google.com/spreadsheets/d/11923uPwbBZFjjGgGUA6NLw09EwE0CqkOc4q9oUmW1yo/edit?usp=sharing"",""แพร่!J485"")"),1.65)</f>
        <v>1.65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IFERROR(__xludf.DUMMYFUNCTION("IMPORTRANGE(""https://docs.google.com/spreadsheets/d/11923uPwbBZFjjGgGUA6NLw09EwE0CqkOc4q9oUmW1yo/edit?usp=sharing"",""แพร่!I486"")"),0)</f>
        <v>0</v>
      </c>
      <c r="J591" s="187">
        <f ca="1">IFERROR(__xludf.DUMMYFUNCTION("IMPORTRANGE(""https://docs.google.com/spreadsheets/d/11923uPwbBZFjjGgGUA6NLw09EwE0CqkOc4q9oUmW1yo/edit?usp=sharing"",""แพร่!J486"")"),2)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IFERROR(__xludf.DUMMYFUNCTION("IMPORTRANGE(""https://docs.google.com/spreadsheets/d/11923uPwbBZFjjGgGUA6NLw09EwE0CqkOc4q9oUmW1yo/edit?usp=sharing"",""แพร่!I487"")"),0)</f>
        <v>0</v>
      </c>
      <c r="J592" s="187">
        <f ca="1">IFERROR(__xludf.DUMMYFUNCTION("IMPORTRANGE(""https://docs.google.com/spreadsheets/d/11923uPwbBZFjjGgGUA6NLw09EwE0CqkOc4q9oUmW1yo/edit?usp=sharing"",""แพร่!J487"")"),1.65)</f>
        <v>1.65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IFERROR(__xludf.DUMMYFUNCTION("IMPORTRANGE(""https://docs.google.com/spreadsheets/d/11923uPwbBZFjjGgGUA6NLw09EwE0CqkOc4q9oUmW1yo/edit?usp=sharing"",""แพร่!I488"")"),0)</f>
        <v>0</v>
      </c>
      <c r="J593" s="187">
        <f ca="1">IFERROR(__xludf.DUMMYFUNCTION("IMPORTRANGE(""https://docs.google.com/spreadsheets/d/11923uPwbBZFjjGgGUA6NLw09EwE0CqkOc4q9oUmW1yo/edit?usp=sharing"",""แพร่!J488"")"),0)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IFERROR(__xludf.DUMMYFUNCTION("IMPORTRANGE(""https://docs.google.com/spreadsheets/d/11923uPwbBZFjjGgGUA6NLw09EwE0CqkOc4q9oUmW1yo/edit?usp=sharing"",""แพร่!I489"")"),0)</f>
        <v>0</v>
      </c>
      <c r="J594" s="187">
        <f ca="1">IFERROR(__xludf.DUMMYFUNCTION("IMPORTRANGE(""https://docs.google.com/spreadsheets/d/11923uPwbBZFjjGgGUA6NLw09EwE0CqkOc4q9oUmW1yo/edit?usp=sharing"",""แพร่!J489"")"),0)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IFERROR(__xludf.DUMMYFUNCTION("IMPORTRANGE(""https://docs.google.com/spreadsheets/d/11923uPwbBZFjjGgGUA6NLw09EwE0CqkOc4q9oUmW1yo/edit?usp=sharing"",""แพร่!I490"")"),0)</f>
        <v>0</v>
      </c>
      <c r="J595" s="187">
        <f ca="1">IFERROR(__xludf.DUMMYFUNCTION("IMPORTRANGE(""https://docs.google.com/spreadsheets/d/11923uPwbBZFjjGgGUA6NLw09EwE0CqkOc4q9oUmW1yo/edit?usp=sharing"",""แพร่!J490"")"),2)</f>
        <v>2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IFERROR(__xludf.DUMMYFUNCTION("IMPORTRANGE(""https://docs.google.com/spreadsheets/d/11923uPwbBZFjjGgGUA6NLw09EwE0CqkOc4q9oUmW1yo/edit?usp=sharing"",""แพร่!I491"")"),0)</f>
        <v>0</v>
      </c>
      <c r="J596" s="240">
        <f ca="1">IFERROR(__xludf.DUMMYFUNCTION("IMPORTRANGE(""https://docs.google.com/spreadsheets/d/11923uPwbBZFjjGgGUA6NLw09EwE0CqkOc4q9oUmW1yo/edit?usp=sharing"",""แพร่!J491"")"),1.65)</f>
        <v>1.65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IFERROR(__xludf.DUMMYFUNCTION("IMPORTRANGE(""https://docs.google.com/spreadsheets/d/11923uPwbBZFjjGgGUA6NLw09EwE0CqkOc4q9oUmW1yo/edit?usp=sharing"",""แพร่!I492"")"),50)</f>
        <v>50</v>
      </c>
      <c r="J597" s="485">
        <f ca="1">IFERROR(__xludf.DUMMYFUNCTION("IMPORTRANGE(""https://docs.google.com/spreadsheets/d/11923uPwbBZFjjGgGUA6NLw09EwE0CqkOc4q9oUmW1yo/edit?usp=sharing"",""แพร่!J492"")"),0)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IFERROR(__xludf.DUMMYFUNCTION("IMPORTRANGE(""https://docs.google.com/spreadsheets/d/11923uPwbBZFjjGgGUA6NLw09EwE0CqkOc4q9oUmW1yo/edit?usp=sharing"",""แพร่!L492"")"),4550)</f>
        <v>4550</v>
      </c>
      <c r="M597" s="410"/>
      <c r="N597" s="410">
        <f ca="1">IFERROR(__xludf.DUMMYFUNCTION("IMPORTRANGE(""https://docs.google.com/spreadsheets/d/11923uPwbBZFjjGgGUA6NLw09EwE0CqkOc4q9oUmW1yo/edit?usp=sharing"",""แพร่!M492"")"),432)</f>
        <v>432</v>
      </c>
      <c r="O597" s="410">
        <f t="shared" ref="O597:O601" ca="1" si="126">+IF(L597&gt;0,N597*100/L597,0)</f>
        <v>9.4945054945054945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IFERROR(__xludf.DUMMYFUNCTION("IMPORTRANGE(""https://docs.google.com/spreadsheets/d/11923uPwbBZFjjGgGUA6NLw09EwE0CqkOc4q9oUmW1yo/edit?usp=sharing"",""แพร่!L493"")"),0)</f>
        <v>0</v>
      </c>
      <c r="M598" s="164"/>
      <c r="N598" s="168">
        <f ca="1">IFERROR(__xludf.DUMMYFUNCTION("IMPORTRANGE(""https://docs.google.com/spreadsheets/d/11923uPwbBZFjjGgGUA6NLw09EwE0CqkOc4q9oUmW1yo/edit?usp=sharing"",""แพร่!M493"")"),0)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IFERROR(__xludf.DUMMYFUNCTION("IMPORTRANGE(""https://docs.google.com/spreadsheets/d/11923uPwbBZFjjGgGUA6NLw09EwE0CqkOc4q9oUmW1yo/edit?usp=sharing"",""แพร่!L494"")"),4550)</f>
        <v>4550</v>
      </c>
      <c r="M599" s="165"/>
      <c r="N599" s="168">
        <f ca="1">IFERROR(__xludf.DUMMYFUNCTION("IMPORTRANGE(""https://docs.google.com/spreadsheets/d/11923uPwbBZFjjGgGUA6NLw09EwE0CqkOc4q9oUmW1yo/edit?usp=sharing"",""แพร่!M494"")"),432)</f>
        <v>432</v>
      </c>
      <c r="O599" s="168">
        <f t="shared" ca="1" si="126"/>
        <v>9.4945054945054945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IFERROR(__xludf.DUMMYFUNCTION("IMPORTRANGE(""https://docs.google.com/spreadsheets/d/11923uPwbBZFjjGgGUA6NLw09EwE0CqkOc4q9oUmW1yo/edit?usp=sharing"",""แพร่!L495"")"),0)</f>
        <v>0</v>
      </c>
      <c r="M600" s="168"/>
      <c r="N600" s="168">
        <f ca="1">IFERROR(__xludf.DUMMYFUNCTION("IMPORTRANGE(""https://docs.google.com/spreadsheets/d/11923uPwbBZFjjGgGUA6NLw09EwE0CqkOc4q9oUmW1yo/edit?usp=sharing"",""แพร่!M495"")"),0)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IFERROR(__xludf.DUMMYFUNCTION("IMPORTRANGE(""https://docs.google.com/spreadsheets/d/11923uPwbBZFjjGgGUA6NLw09EwE0CqkOc4q9oUmW1yo/edit?usp=sharing"",""แพร่!L496"")"),4550)</f>
        <v>4550</v>
      </c>
      <c r="M601" s="168"/>
      <c r="N601" s="168">
        <f ca="1">IFERROR(__xludf.DUMMYFUNCTION("IMPORTRANGE(""https://docs.google.com/spreadsheets/d/11923uPwbBZFjjGgGUA6NLw09EwE0CqkOc4q9oUmW1yo/edit?usp=sharing"",""แพร่!M496"")"),432)</f>
        <v>432</v>
      </c>
      <c r="O601" s="168">
        <f t="shared" ca="1" si="126"/>
        <v>9.4945054945054945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IFERROR(__xludf.DUMMYFUNCTION("IMPORTRANGE(""https://docs.google.com/spreadsheets/d/11923uPwbBZFjjGgGUA6NLw09EwE0CqkOc4q9oUmW1yo/edit?usp=sharing"",""แพร่!M497"")"),0)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IFERROR(__xludf.DUMMYFUNCTION("IMPORTRANGE(""https://docs.google.com/spreadsheets/d/11923uPwbBZFjjGgGUA6NLw09EwE0CqkOc4q9oUmW1yo/edit?usp=sharing"",""แพร่!M498"")"),0)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IFERROR(__xludf.DUMMYFUNCTION("IMPORTRANGE(""https://docs.google.com/spreadsheets/d/11923uPwbBZFjjGgGUA6NLw09EwE0CqkOc4q9oUmW1yo/edit?usp=sharing"",""แพร่!M499"")"),0)</f>
        <v>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IFERROR(__xludf.DUMMYFUNCTION("IMPORTRANGE(""https://docs.google.com/spreadsheets/d/11923uPwbBZFjjGgGUA6NLw09EwE0CqkOc4q9oUmW1yo/edit?usp=sharing"",""แพร่!M500"")"),432)</f>
        <v>432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IFERROR(__xludf.DUMMYFUNCTION("IMPORTRANGE(""https://docs.google.com/spreadsheets/d/11923uPwbBZFjjGgGUA6NLw09EwE0CqkOc4q9oUmW1yo/edit?usp=sharing"",""แพร่!J502"")"),0)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IFERROR(__xludf.DUMMYFUNCTION("IMPORTRANGE(""https://docs.google.com/spreadsheets/d/11923uPwbBZFjjGgGUA6NLw09EwE0CqkOc4q9oUmW1yo/edit?usp=sharing"",""แพร่!J503"")"),1)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IFERROR(__xludf.DUMMYFUNCTION("IMPORTRANGE(""https://docs.google.com/spreadsheets/d/11923uPwbBZFjjGgGUA6NLw09EwE0CqkOc4q9oUmW1yo/edit?usp=sharing"",""แพร่!J166"")"),0)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IFERROR(__xludf.DUMMYFUNCTION("IMPORTRANGE(""https://docs.google.com/spreadsheets/d/11923uPwbBZFjjGgGUA6NLw09EwE0CqkOc4q9oUmW1yo/edit?usp=sharing"",""แพร่!J166"")"),0)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IFERROR(__xludf.DUMMYFUNCTION("IMPORTRANGE(""https://docs.google.com/spreadsheets/d/11923uPwbBZFjjGgGUA6NLw09EwE0CqkOc4q9oUmW1yo/edit?usp=sharing"",""แพร่!I506"")"),50)</f>
        <v>50</v>
      </c>
      <c r="J611" s="162">
        <f ca="1">IFERROR(__xludf.DUMMYFUNCTION("IMPORTRANGE(""https://docs.google.com/spreadsheets/d/11923uPwbBZFjjGgGUA6NLw09EwE0CqkOc4q9oUmW1yo/edit?usp=sharing"",""แพร่!J506"")"),0)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IFERROR(__xludf.DUMMYFUNCTION("IMPORTRANGE(""https://docs.google.com/spreadsheets/d/11923uPwbBZFjjGgGUA6NLw09EwE0CqkOc4q9oUmW1yo/edit?usp=sharing"",""แพร่!I507"")"),0)</f>
        <v>0</v>
      </c>
      <c r="J612" s="197">
        <f ca="1">IFERROR(__xludf.DUMMYFUNCTION("IMPORTRANGE(""https://docs.google.com/spreadsheets/d/11923uPwbBZFjjGgGUA6NLw09EwE0CqkOc4q9oUmW1yo/edit?usp=sharing"",""แพร่!J507"")"),0)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IFERROR(__xludf.DUMMYFUNCTION("IMPORTRANGE(""https://docs.google.com/spreadsheets/d/11923uPwbBZFjjGgGUA6NLw09EwE0CqkOc4q9oUmW1yo/edit?usp=sharing"",""แพร่!I508"")"),0)</f>
        <v>0</v>
      </c>
      <c r="J613" s="197">
        <f ca="1">IFERROR(__xludf.DUMMYFUNCTION("IMPORTRANGE(""https://docs.google.com/spreadsheets/d/11923uPwbBZFjjGgGUA6NLw09EwE0CqkOc4q9oUmW1yo/edit?usp=sharing"",""แพร่!J508"")"),0)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IFERROR(__xludf.DUMMYFUNCTION("IMPORTRANGE(""https://docs.google.com/spreadsheets/d/11923uPwbBZFjjGgGUA6NLw09EwE0CqkOc4q9oUmW1yo/edit?usp=sharing"",""แพร่!I509"")"),0)</f>
        <v>0</v>
      </c>
      <c r="J614" s="197">
        <f ca="1">IFERROR(__xludf.DUMMYFUNCTION("IMPORTRANGE(""https://docs.google.com/spreadsheets/d/11923uPwbBZFjjGgGUA6NLw09EwE0CqkOc4q9oUmW1yo/edit?usp=sharing"",""แพร่!J509"")"),0)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IFERROR(__xludf.DUMMYFUNCTION("IMPORTRANGE(""https://docs.google.com/spreadsheets/d/11923uPwbBZFjjGgGUA6NLw09EwE0CqkOc4q9oUmW1yo/edit?usp=sharing"",""แพร่!I510"")"),0)</f>
        <v>0</v>
      </c>
      <c r="J615" s="197">
        <f ca="1">IFERROR(__xludf.DUMMYFUNCTION("IMPORTRANGE(""https://docs.google.com/spreadsheets/d/11923uPwbBZFjjGgGUA6NLw09EwE0CqkOc4q9oUmW1yo/edit?usp=sharing"",""แพร่!J510"")"),0)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IFERROR(__xludf.DUMMYFUNCTION("IMPORTRANGE(""https://docs.google.com/spreadsheets/d/11923uPwbBZFjjGgGUA6NLw09EwE0CqkOc4q9oUmW1yo/edit?usp=sharing"",""แพร่!I511"")"),0)</f>
        <v>0</v>
      </c>
      <c r="J616" s="197">
        <f ca="1">IFERROR(__xludf.DUMMYFUNCTION("IMPORTRANGE(""https://docs.google.com/spreadsheets/d/11923uPwbBZFjjGgGUA6NLw09EwE0CqkOc4q9oUmW1yo/edit?usp=sharing"",""แพร่!J511"")"),0)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IFERROR(__xludf.DUMMYFUNCTION("IMPORTRANGE(""https://docs.google.com/spreadsheets/d/11923uPwbBZFjjGgGUA6NLw09EwE0CqkOc4q9oUmW1yo/edit?usp=sharing"",""แพร่!I512"")"),0)</f>
        <v>0</v>
      </c>
      <c r="J617" s="187">
        <f ca="1">IFERROR(__xludf.DUMMYFUNCTION("IMPORTRANGE(""https://docs.google.com/spreadsheets/d/11923uPwbBZFjjGgGUA6NLw09EwE0CqkOc4q9oUmW1yo/edit?usp=sharing"",""แพร่!J512"")"),0)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IFERROR(__xludf.DUMMYFUNCTION("IMPORTRANGE(""https://docs.google.com/spreadsheets/d/11923uPwbBZFjjGgGUA6NLw09EwE0CqkOc4q9oUmW1yo/edit?usp=sharing"",""แพร่!I513"")"),0)</f>
        <v>0</v>
      </c>
      <c r="J618" s="188">
        <f ca="1">IFERROR(__xludf.DUMMYFUNCTION("IMPORTRANGE(""https://docs.google.com/spreadsheets/d/11923uPwbBZFjjGgGUA6NLw09EwE0CqkOc4q9oUmW1yo/edit?usp=sharing"",""แพร่!J513"")"),0)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IFERROR(__xludf.DUMMYFUNCTION("IMPORTRANGE(""https://docs.google.com/spreadsheets/d/11923uPwbBZFjjGgGUA6NLw09EwE0CqkOc4q9oUmW1yo/edit?usp=sharing"",""แพร่!I514"")"),0)</f>
        <v>0</v>
      </c>
      <c r="J619" s="188">
        <f ca="1">IFERROR(__xludf.DUMMYFUNCTION("IMPORTRANGE(""https://docs.google.com/spreadsheets/d/11923uPwbBZFjjGgGUA6NLw09EwE0CqkOc4q9oUmW1yo/edit?usp=sharing"",""แพร่!J514"")"),0)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IFERROR(__xludf.DUMMYFUNCTION("IMPORTRANGE(""https://docs.google.com/spreadsheets/d/11923uPwbBZFjjGgGUA6NLw09EwE0CqkOc4q9oUmW1yo/edit?usp=sharing"",""แพร่!I515"")"),0)</f>
        <v>0</v>
      </c>
      <c r="J620" s="202">
        <f ca="1">IFERROR(__xludf.DUMMYFUNCTION("IMPORTRANGE(""https://docs.google.com/spreadsheets/d/11923uPwbBZFjjGgGUA6NLw09EwE0CqkOc4q9oUmW1yo/edit?usp=sharing"",""แพร่!J515"")"),0)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IFERROR(__xludf.DUMMYFUNCTION("IMPORTRANGE(""https://docs.google.com/spreadsheets/d/11923uPwbBZFjjGgGUA6NLw09EwE0CqkOc4q9oUmW1yo/edit?usp=sharing"",""แพร่!I516"")"),0)</f>
        <v>0</v>
      </c>
      <c r="J621" s="202">
        <f ca="1">IFERROR(__xludf.DUMMYFUNCTION("IMPORTRANGE(""https://docs.google.com/spreadsheets/d/11923uPwbBZFjjGgGUA6NLw09EwE0CqkOc4q9oUmW1yo/edit?usp=sharing"",""แพร่!J516"")"),0)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IFERROR(__xludf.DUMMYFUNCTION("IMPORTRANGE(""https://docs.google.com/spreadsheets/d/11923uPwbBZFjjGgGUA6NLw09EwE0CqkOc4q9oUmW1yo/edit?usp=sharing"",""แพร่!I517"")"),0)</f>
        <v>0</v>
      </c>
      <c r="J622" s="188">
        <f ca="1">IFERROR(__xludf.DUMMYFUNCTION("IMPORTRANGE(""https://docs.google.com/spreadsheets/d/11923uPwbBZFjjGgGUA6NLw09EwE0CqkOc4q9oUmW1yo/edit?usp=sharing"",""แพร่!J517"")"),0)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IFERROR(__xludf.DUMMYFUNCTION("IMPORTRANGE(""https://docs.google.com/spreadsheets/d/11923uPwbBZFjjGgGUA6NLw09EwE0CqkOc4q9oUmW1yo/edit?usp=sharing"",""แพร่!I518"")"),0)</f>
        <v>0</v>
      </c>
      <c r="J623" s="188">
        <f ca="1">IFERROR(__xludf.DUMMYFUNCTION("IMPORTRANGE(""https://docs.google.com/spreadsheets/d/11923uPwbBZFjjGgGUA6NLw09EwE0CqkOc4q9oUmW1yo/edit?usp=sharing"",""แพร่!J518"")"),0)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IFERROR(__xludf.DUMMYFUNCTION("IMPORTRANGE(""https://docs.google.com/spreadsheets/d/11923uPwbBZFjjGgGUA6NLw09EwE0CqkOc4q9oUmW1yo/edit?usp=sharing"",""แพร่!I519"")"),0)</f>
        <v>0</v>
      </c>
      <c r="J624" s="187">
        <f ca="1">IFERROR(__xludf.DUMMYFUNCTION("IMPORTRANGE(""https://docs.google.com/spreadsheets/d/11923uPwbBZFjjGgGUA6NLw09EwE0CqkOc4q9oUmW1yo/edit?usp=sharing"",""แพร่!J519"")"),0)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IFERROR(__xludf.DUMMYFUNCTION("IMPORTRANGE(""https://docs.google.com/spreadsheets/d/11923uPwbBZFjjGgGUA6NLw09EwE0CqkOc4q9oUmW1yo/edit?usp=sharing"",""แพร่!I520"")"),0)</f>
        <v>0</v>
      </c>
      <c r="J625" s="188">
        <f ca="1">IFERROR(__xludf.DUMMYFUNCTION("IMPORTRANGE(""https://docs.google.com/spreadsheets/d/11923uPwbBZFjjGgGUA6NLw09EwE0CqkOc4q9oUmW1yo/edit?usp=sharing"",""แพร่!J520"")"),0)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IFERROR(__xludf.DUMMYFUNCTION("IMPORTRANGE(""https://docs.google.com/spreadsheets/d/11923uPwbBZFjjGgGUA6NLw09EwE0CqkOc4q9oUmW1yo/edit?usp=sharing"",""แพร่!I521"")"),0)</f>
        <v>0</v>
      </c>
      <c r="J626" s="188">
        <f ca="1">IFERROR(__xludf.DUMMYFUNCTION("IMPORTRANGE(""https://docs.google.com/spreadsheets/d/11923uPwbBZFjjGgGUA6NLw09EwE0CqkOc4q9oUmW1yo/edit?usp=sharing"",""แพร่!J521"")"),0)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IFERROR(__xludf.DUMMYFUNCTION("IMPORTRANGE(""https://docs.google.com/spreadsheets/d/11923uPwbBZFjjGgGUA6NLw09EwE0CqkOc4q9oUmW1yo/edit?usp=sharing"",""แพร่!I523"")"),3480000)</f>
        <v>3480000</v>
      </c>
      <c r="J628" s="339">
        <f ca="1">IFERROR(__xludf.DUMMYFUNCTION("IMPORTRANGE(""https://docs.google.com/spreadsheets/d/11923uPwbBZFjjGgGUA6NLw09EwE0CqkOc4q9oUmW1yo/edit?usp=sharing"",""แพร่!J523"")"),1095000)</f>
        <v>1095000</v>
      </c>
      <c r="K628" s="340">
        <f t="shared" ref="K628:K635" ca="1" si="129">IF(I628&gt;0,J628*100/I628,0)</f>
        <v>31.46551724137931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IFERROR(__xludf.DUMMYFUNCTION("IMPORTRANGE(""https://docs.google.com/spreadsheets/d/11923uPwbBZFjjGgGUA6NLw09EwE0CqkOc4q9oUmW1yo/edit?usp=sharing"",""แพร่!I524"")"),160)</f>
        <v>160</v>
      </c>
      <c r="J629" s="339">
        <f ca="1">IFERROR(__xludf.DUMMYFUNCTION("IMPORTRANGE(""https://docs.google.com/spreadsheets/d/11923uPwbBZFjjGgGUA6NLw09EwE0CqkOc4q9oUmW1yo/edit?usp=sharing"",""แพร่!J524"")"),50)</f>
        <v>50</v>
      </c>
      <c r="K629" s="340">
        <f t="shared" ca="1" si="129"/>
        <v>31.25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IFERROR(__xludf.DUMMYFUNCTION("IMPORTRANGE(""https://docs.google.com/spreadsheets/d/11923uPwbBZFjjGgGUA6NLw09EwE0CqkOc4q9oUmW1yo/edit?usp=sharing"",""แพร่!I525"")"),664125.88)</f>
        <v>664125.88</v>
      </c>
      <c r="J630" s="339">
        <f ca="1">IFERROR(__xludf.DUMMYFUNCTION("IMPORTRANGE(""https://docs.google.com/spreadsheets/d/11923uPwbBZFjjGgGUA6NLw09EwE0CqkOc4q9oUmW1yo/edit?usp=sharing"",""แพร่!J525"")"),53175.57)</f>
        <v>53175.57</v>
      </c>
      <c r="K630" s="340">
        <f t="shared" ca="1" si="129"/>
        <v>8.0068510505869757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IFERROR(__xludf.DUMMYFUNCTION("IMPORTRANGE(""https://docs.google.com/spreadsheets/d/11923uPwbBZFjjGgGUA6NLw09EwE0CqkOc4q9oUmW1yo/edit?usp=sharing"",""แพร่!I526"")"),54)</f>
        <v>54</v>
      </c>
      <c r="J631" s="339">
        <f ca="1">IFERROR(__xludf.DUMMYFUNCTION("IMPORTRANGE(""https://docs.google.com/spreadsheets/d/11923uPwbBZFjjGgGUA6NLw09EwE0CqkOc4q9oUmW1yo/edit?usp=sharing"",""แพร่!J526"")"),43)</f>
        <v>43</v>
      </c>
      <c r="K631" s="340">
        <f t="shared" ca="1" si="129"/>
        <v>79.629629629629633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IFERROR(__xludf.DUMMYFUNCTION("IMPORTRANGE(""https://docs.google.com/spreadsheets/d/11923uPwbBZFjjGgGUA6NLw09EwE0CqkOc4q9oUmW1yo/edit?usp=sharing"",""แพร่!I527"")"),0)</f>
        <v>0</v>
      </c>
      <c r="J632" s="339">
        <f ca="1">IFERROR(__xludf.DUMMYFUNCTION("IMPORTRANGE(""https://docs.google.com/spreadsheets/d/11923uPwbBZFjjGgGUA6NLw09EwE0CqkOc4q9oUmW1yo/edit?usp=sharing"",""แพร่!J527"")"),0)</f>
        <v>0</v>
      </c>
      <c r="K632" s="340">
        <f t="shared" ca="1" si="129"/>
        <v>0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IFERROR(__xludf.DUMMYFUNCTION("IMPORTRANGE(""https://docs.google.com/spreadsheets/d/11923uPwbBZFjjGgGUA6NLw09EwE0CqkOc4q9oUmW1yo/edit?usp=sharing"",""แพร่!I528"")"),0)</f>
        <v>0</v>
      </c>
      <c r="J633" s="339">
        <f ca="1">IFERROR(__xludf.DUMMYFUNCTION("IMPORTRANGE(""https://docs.google.com/spreadsheets/d/11923uPwbBZFjjGgGUA6NLw09EwE0CqkOc4q9oUmW1yo/edit?usp=sharing"",""แพร่!J528"")"),0)</f>
        <v>0</v>
      </c>
      <c r="K633" s="340">
        <f t="shared" ca="1" si="129"/>
        <v>0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IFERROR(__xludf.DUMMYFUNCTION("IMPORTRANGE(""https://docs.google.com/spreadsheets/d/11923uPwbBZFjjGgGUA6NLw09EwE0CqkOc4q9oUmW1yo/edit?usp=sharing"",""แพร่!I529"")"),3500000)</f>
        <v>3500000</v>
      </c>
      <c r="J634" s="339">
        <f ca="1">IFERROR(__xludf.DUMMYFUNCTION("IMPORTRANGE(""https://docs.google.com/spreadsheets/d/11923uPwbBZFjjGgGUA6NLw09EwE0CqkOc4q9oUmW1yo/edit?usp=sharing"",""แพร่!J529"")"),425000)</f>
        <v>425000</v>
      </c>
      <c r="K634" s="340">
        <f t="shared" ca="1" si="129"/>
        <v>12.142857142857142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IFERROR(__xludf.DUMMYFUNCTION("IMPORTRANGE(""https://docs.google.com/spreadsheets/d/11923uPwbBZFjjGgGUA6NLw09EwE0CqkOc4q9oUmW1yo/edit?usp=sharing"",""แพร่!I530"")"),140)</f>
        <v>140</v>
      </c>
      <c r="J635" s="502">
        <f ca="1">IFERROR(__xludf.DUMMYFUNCTION("IMPORTRANGE(""https://docs.google.com/spreadsheets/d/11923uPwbBZFjjGgGUA6NLw09EwE0CqkOc4q9oUmW1yo/edit?usp=sharing"",""แพร่!J530"")"),19)</f>
        <v>19</v>
      </c>
      <c r="K635" s="484">
        <f t="shared" ca="1" si="129"/>
        <v>13.571428571428571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9" width="12.54296875" bestFit="1" customWidth="1"/>
    <col min="10" max="10" width="11.90625" bestFit="1" customWidth="1"/>
    <col min="11" max="11" width="11" bestFit="1" customWidth="1"/>
    <col min="12" max="13" width="20.08984375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260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3165902</v>
      </c>
      <c r="M8" s="23">
        <f t="shared" ca="1" si="0"/>
        <v>1129455</v>
      </c>
      <c r="N8" s="23">
        <f t="shared" ca="1" si="0"/>
        <v>1523198</v>
      </c>
      <c r="O8" s="22">
        <f t="shared" ref="O8:O16" ca="1" si="1">IF(L8&gt;0,N8*100/L8,0)</f>
        <v>48.112607402250603</v>
      </c>
      <c r="P8" s="22">
        <f t="shared" ref="P8:P16" ca="1" si="2">IF(M8&gt;0,N8*100/M8,0)</f>
        <v>134.86132692316207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3165902</v>
      </c>
      <c r="M10" s="30">
        <f t="shared" ca="1" si="4"/>
        <v>1129455</v>
      </c>
      <c r="N10" s="30">
        <f t="shared" ca="1" si="4"/>
        <v>1523198</v>
      </c>
      <c r="O10" s="29">
        <f t="shared" ca="1" si="1"/>
        <v>48.112607402250603</v>
      </c>
      <c r="P10" s="29">
        <f t="shared" ca="1" si="2"/>
        <v>134.86132692316207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3118102</v>
      </c>
      <c r="M12" s="38">
        <f t="shared" ca="1" si="6"/>
        <v>1081655</v>
      </c>
      <c r="N12" s="38">
        <f t="shared" ca="1" si="6"/>
        <v>1475398</v>
      </c>
      <c r="O12" s="38">
        <f t="shared" ca="1" si="1"/>
        <v>47.317182054980883</v>
      </c>
      <c r="P12" s="38">
        <f t="shared" ca="1" si="2"/>
        <v>136.40190263993603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1558000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1560102</v>
      </c>
      <c r="M14" s="38">
        <f t="shared" si="8"/>
        <v>0</v>
      </c>
      <c r="N14" s="38">
        <f t="shared" ca="1" si="8"/>
        <v>551877</v>
      </c>
      <c r="O14" s="38">
        <f t="shared" ca="1" si="1"/>
        <v>35.374417826526724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47800</v>
      </c>
      <c r="M16" s="38">
        <f t="shared" ca="1" si="10"/>
        <v>47800</v>
      </c>
      <c r="N16" s="38">
        <f t="shared" ca="1" si="10"/>
        <v>47800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2083375</v>
      </c>
      <c r="M18" s="23">
        <f t="shared" ca="1" si="11"/>
        <v>1129455</v>
      </c>
      <c r="N18" s="23">
        <f t="shared" ca="1" si="11"/>
        <v>971321</v>
      </c>
      <c r="O18" s="22">
        <f t="shared" ref="O18:O20" ca="1" si="12">IF(L18&gt;0,N18*100/L18,0)</f>
        <v>46.622475550488993</v>
      </c>
      <c r="P18" s="22">
        <f t="shared" ref="P18:P26" ca="1" si="13">IF(M18&gt;0,N18*100/M18,0)</f>
        <v>85.999088055743698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2083375</v>
      </c>
      <c r="M20" s="30">
        <f t="shared" ca="1" si="15"/>
        <v>1129455</v>
      </c>
      <c r="N20" s="30">
        <f t="shared" ca="1" si="15"/>
        <v>971321</v>
      </c>
      <c r="O20" s="29">
        <f t="shared" ca="1" si="12"/>
        <v>46.622475550488993</v>
      </c>
      <c r="P20" s="29">
        <f t="shared" ca="1" si="13"/>
        <v>85.999088055743698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2035575</v>
      </c>
      <c r="M22" s="41">
        <f t="shared" ca="1" si="18"/>
        <v>1081655</v>
      </c>
      <c r="N22" s="38">
        <f t="shared" ca="1" si="18"/>
        <v>923521</v>
      </c>
      <c r="O22" s="38">
        <f t="shared" ca="1" si="17"/>
        <v>45.369048057674121</v>
      </c>
      <c r="P22" s="38">
        <f t="shared" ca="1" si="13"/>
        <v>85.380366198094592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1558000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477575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47800</v>
      </c>
      <c r="M26" s="49">
        <f t="shared" ca="1" si="22"/>
        <v>47800</v>
      </c>
      <c r="N26" s="49">
        <f t="shared" ca="1" si="22"/>
        <v>47800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1082527</v>
      </c>
      <c r="M28" s="23">
        <f t="shared" si="23"/>
        <v>0</v>
      </c>
      <c r="N28" s="23">
        <f t="shared" ca="1" si="23"/>
        <v>551877</v>
      </c>
      <c r="O28" s="22">
        <f t="shared" ref="O28:O30" ca="1" si="24">IF(L28&gt;0,N28*100/L28,0)</f>
        <v>50.98043743943569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1082527</v>
      </c>
      <c r="M30" s="30">
        <f t="shared" si="27"/>
        <v>0</v>
      </c>
      <c r="N30" s="30">
        <f t="shared" ca="1" si="27"/>
        <v>551877</v>
      </c>
      <c r="O30" s="29">
        <f t="shared" ca="1" si="24"/>
        <v>50.98043743943569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1082527</v>
      </c>
      <c r="M32" s="38">
        <f t="shared" si="30"/>
        <v>0</v>
      </c>
      <c r="N32" s="38">
        <f t="shared" ca="1" si="30"/>
        <v>551877</v>
      </c>
      <c r="O32" s="38">
        <f t="shared" ca="1" si="29"/>
        <v>50.98043743943569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1082527</v>
      </c>
      <c r="M34" s="38">
        <f t="shared" si="32"/>
        <v>0</v>
      </c>
      <c r="N34" s="38">
        <f t="shared" ca="1" si="32"/>
        <v>551877</v>
      </c>
      <c r="O34" s="38">
        <f t="shared" ca="1" si="29"/>
        <v>50.98043743943569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2083375</v>
      </c>
      <c r="M37" s="54">
        <f t="shared" ca="1" si="33"/>
        <v>1129455</v>
      </c>
      <c r="N37" s="54">
        <f t="shared" ca="1" si="33"/>
        <v>971321</v>
      </c>
      <c r="O37" s="55">
        <f t="shared" ca="1" si="29"/>
        <v>46.622475550488993</v>
      </c>
      <c r="P37" s="55">
        <f t="shared" ca="1" si="25"/>
        <v>85.999088055743698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669700</v>
      </c>
      <c r="M41" s="78">
        <f t="shared" ca="1" si="34"/>
        <v>334900</v>
      </c>
      <c r="N41" s="78">
        <f t="shared" ca="1" si="34"/>
        <v>271334</v>
      </c>
      <c r="O41" s="77">
        <f t="shared" ref="O41:O43" ca="1" si="35">IF(L41&gt;0,N41*100/L41,0)</f>
        <v>40.515753322383155</v>
      </c>
      <c r="P41" s="77">
        <f t="shared" ref="P41:P43" ca="1" si="36">IF(M41&gt;0,N41*100/M41,0)</f>
        <v>81.019408778739916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669700</v>
      </c>
      <c r="M43" s="78">
        <f t="shared" ca="1" si="38"/>
        <v>334900</v>
      </c>
      <c r="N43" s="78">
        <f t="shared" ca="1" si="38"/>
        <v>271334</v>
      </c>
      <c r="O43" s="77">
        <f t="shared" ca="1" si="35"/>
        <v>40.515753322383155</v>
      </c>
      <c r="P43" s="77">
        <f t="shared" ca="1" si="36"/>
        <v>81.019408778739916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669700</v>
      </c>
      <c r="M45" s="49">
        <f ca="1">IFERROR(__xludf.DUMMYFUNCTION("IMPORTRANGE(""https://docs.google.com/spreadsheets/d/1Yj_ptqi66GCucihVvJfMjLAmec39IyEx_6qawtMGysU/edit?usp=sharing"",""สบก!Q31"")"),334900)</f>
        <v>334900</v>
      </c>
      <c r="N45" s="49">
        <f ca="1">IFERROR(__xludf.DUMMYFUNCTION("IMPORTRANGE(""https://docs.google.com/spreadsheets/d/1Yj_ptqi66GCucihVvJfMjLAmec39IyEx_6qawtMGysU/edit?usp=sharing"",""สบก!R31"")"),271334)</f>
        <v>271334</v>
      </c>
      <c r="O45" s="38">
        <f ca="1">IF(L45&gt;0,N45*100/L45,0)</f>
        <v>40.515753322383155</v>
      </c>
      <c r="P45" s="38">
        <f ca="1">IF(M45&gt;0,N45*100/M45,0)</f>
        <v>81.019408778739916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IFERROR(__xludf.DUMMYFUNCTION("IMPORTRANGE(""https://docs.google.com/spreadsheets/d/1Yj_ptqi66GCucihVvJfMjLAmec39IyEx_6qawtMGysU/edit?usp=sharing"",""สบก!M31"")"),669700)</f>
        <v>669700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IFERROR(__xludf.DUMMYFUNCTION("IMPORTRANGE(""https://docs.google.com/spreadsheets/d/1Yj_ptqi66GCucihVvJfMjLAmec39IyEx_6qawtMGysU/edit?usp=sharing"",""สบก!N31"")"),0)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IFERROR(__xludf.DUMMYFUNCTION("IMPORTRANGE(""https://docs.google.com/spreadsheets/d/1Yj_ptqi66GCucihVvJfMjLAmec39IyEx_6qawtMGysU/edit?usp=sharing"",""สบก!O31"")"),0)</f>
        <v>0</v>
      </c>
      <c r="M49" s="49"/>
      <c r="N49" s="49">
        <f ca="1">IFERROR(__xludf.DUMMYFUNCTION("IMPORTRANGE(""https://docs.google.com/spreadsheets/d/1Yj_ptqi66GCucihVvJfMjLAmec39IyEx_6qawtMGysU/edit?usp=sharing"",""สบก!S31"")"),0)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181500</v>
      </c>
      <c r="M53" s="120">
        <f t="shared" ca="1" si="39"/>
        <v>105700</v>
      </c>
      <c r="N53" s="120">
        <f t="shared" ca="1" si="39"/>
        <v>90586</v>
      </c>
      <c r="O53" s="119">
        <f t="shared" ref="O53:O55" ca="1" si="40">IF(L53&gt;0,N53*100/L53,0)</f>
        <v>49.90964187327824</v>
      </c>
      <c r="P53" s="119">
        <f t="shared" ref="P53:P55" ca="1" si="41">IF(M53&gt;0,N53*100/M53,0)</f>
        <v>85.701040681173126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181500</v>
      </c>
      <c r="M55" s="120">
        <f t="shared" ca="1" si="43"/>
        <v>105700</v>
      </c>
      <c r="N55" s="120">
        <f t="shared" ca="1" si="43"/>
        <v>90586</v>
      </c>
      <c r="O55" s="119">
        <f t="shared" ca="1" si="40"/>
        <v>49.90964187327824</v>
      </c>
      <c r="P55" s="119">
        <f t="shared" ca="1" si="41"/>
        <v>85.701040681173126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181500</v>
      </c>
      <c r="M57" s="49">
        <f ca="1">IFERROR(__xludf.DUMMYFUNCTION("IMPORTRANGE(""https://docs.google.com/spreadsheets/d/1Yj_ptqi66GCucihVvJfMjLAmec39IyEx_6qawtMGysU/edit?usp=sharing"",""สบก!Z31"")"),105700)</f>
        <v>105700</v>
      </c>
      <c r="N57" s="49">
        <f ca="1">IFERROR(__xludf.DUMMYFUNCTION("IMPORTRANGE(""https://docs.google.com/spreadsheets/d/1Yj_ptqi66GCucihVvJfMjLAmec39IyEx_6qawtMGysU/edit?usp=sharing"",""สบก!AA31"")"),90586)</f>
        <v>90586</v>
      </c>
      <c r="O57" s="38">
        <f ca="1">IF(L57&gt;0,N57*100/L57,0)</f>
        <v>49.90964187327824</v>
      </c>
      <c r="P57" s="38">
        <f ca="1">IF(M57&gt;0,N57*100/M57,0)</f>
        <v>85.701040681173126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IFERROR(__xludf.DUMMYFUNCTION("IMPORTRANGE(""https://docs.google.com/spreadsheets/d/1Yj_ptqi66GCucihVvJfMjLAmec39IyEx_6qawtMGysU/edit?usp=sharing"",""สบก!V31"")"),181500)</f>
        <v>181500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IFERROR(__xludf.DUMMYFUNCTION("IMPORTRANGE(""https://docs.google.com/spreadsheets/d/1Yj_ptqi66GCucihVvJfMjLAmec39IyEx_6qawtMGysU/edit?usp=sharing"",""สบก!W31"")"),0)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IFERROR(__xludf.DUMMYFUNCTION("IMPORTRANGE(""https://docs.google.com/spreadsheets/d/1Yj_ptqi66GCucihVvJfMjLAmec39IyEx_6qawtMGysU/edit?usp=sharing"",""สบก!X31"")"),0)</f>
        <v>0</v>
      </c>
      <c r="M61" s="49"/>
      <c r="N61" s="49">
        <f ca="1">IFERROR(__xludf.DUMMYFUNCTION("IMPORTRANGE(""https://docs.google.com/spreadsheets/d/1Yj_ptqi66GCucihVvJfMjLAmec39IyEx_6qawtMGysU/edit?usp=sharing"",""สบก!AB31"")"),0)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IFERROR(__xludf.DUMMYFUNCTION("IMPORTRANGE(""https://docs.google.com/spreadsheets/d/11923uPwbBZFjjGgGUA6NLw09EwE0CqkOc4q9oUmW1yo/edit?usp=sharing"",""แม่ฮ่องสอน!I9"")"),0)</f>
        <v>0</v>
      </c>
      <c r="J64" s="141">
        <f ca="1">IFERROR(__xludf.DUMMYFUNCTION("IMPORTRANGE(""https://docs.google.com/spreadsheets/d/11923uPwbBZFjjGgGUA6NLw09EwE0CqkOc4q9oUmW1yo/edit?usp=sharing"",""แม่ฮ่องสอน!J9"")"),0)</f>
        <v>0</v>
      </c>
      <c r="K64" s="142">
        <f t="shared" ref="K64:K65" ca="1" si="44">IF(I64&gt;0,J64*100/I64,0)</f>
        <v>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IFERROR(__xludf.DUMMYFUNCTION("IMPORTRANGE(""https://docs.google.com/spreadsheets/d/11923uPwbBZFjjGgGUA6NLw09EwE0CqkOc4q9oUmW1yo/edit?usp=sharing"",""แม่ฮ่องสอน!I10"")"),0)</f>
        <v>0</v>
      </c>
      <c r="J65" s="141">
        <f ca="1">IFERROR(__xludf.DUMMYFUNCTION("IMPORTRANGE(""https://docs.google.com/spreadsheets/d/11923uPwbBZFjjGgGUA6NLw09EwE0CqkOc4q9oUmW1yo/edit?usp=sharing"",""แม่ฮ่องสอน!J10"")"),0)</f>
        <v>0</v>
      </c>
      <c r="K65" s="142">
        <f t="shared" ca="1" si="44"/>
        <v>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0</v>
      </c>
      <c r="M66" s="151">
        <f t="shared" ca="1" si="45"/>
        <v>0</v>
      </c>
      <c r="N66" s="151">
        <f t="shared" ca="1" si="45"/>
        <v>0</v>
      </c>
      <c r="O66" s="150">
        <f t="shared" ref="O66:O68" ca="1" si="46">IF(L66&gt;0,N66*100/L66,0)</f>
        <v>0</v>
      </c>
      <c r="P66" s="150">
        <f t="shared" ref="P66:P68" ca="1" si="47">IF(M66&gt;0,N66*100/M66,0)</f>
        <v>0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0</v>
      </c>
      <c r="M68" s="87">
        <f t="shared" ca="1" si="49"/>
        <v>0</v>
      </c>
      <c r="N68" s="87">
        <f t="shared" ca="1" si="49"/>
        <v>0</v>
      </c>
      <c r="O68" s="155">
        <f t="shared" ca="1" si="46"/>
        <v>0</v>
      </c>
      <c r="P68" s="155">
        <f t="shared" ca="1" si="47"/>
        <v>0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IFERROR(__xludf.DUMMYFUNCTION("IMPORTRANGE(""https://docs.google.com/spreadsheets/d/1Yj_ptqi66GCucihVvJfMjLAmec39IyEx_6qawtMGysU/edit?usp=sharing"",""สบก!AI31"")"),0)</f>
        <v>0</v>
      </c>
      <c r="N70" s="168">
        <f ca="1">IFERROR(__xludf.DUMMYFUNCTION("IMPORTRANGE(""https://docs.google.com/spreadsheets/d/1Yj_ptqi66GCucihVvJfMjLAmec39IyEx_6qawtMGysU/edit?usp=sharing"",""สบก!AJ31"")"),0)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IFERROR(__xludf.DUMMYFUNCTION("IMPORTRANGE(""https://docs.google.com/spreadsheets/d/1Yj_ptqi66GCucihVvJfMjLAmec39IyEx_6qawtMGysU/edit?usp=sharing"",""สบก!AE31"")"),0)</f>
        <v>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IFERROR(__xludf.DUMMYFUNCTION("IMPORTRANGE(""https://docs.google.com/spreadsheets/d/1Yj_ptqi66GCucihVvJfMjLAmec39IyEx_6qawtMGysU/edit?usp=sharing"",""สบก!AF31"")"),0)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IFERROR(__xludf.DUMMYFUNCTION("IMPORTRANGE(""https://docs.google.com/spreadsheets/d/1Yj_ptqi66GCucihVvJfMjLAmec39IyEx_6qawtMGysU/edit?usp=sharing"",""สบก!AG31"")"),0)</f>
        <v>0</v>
      </c>
      <c r="M74" s="49"/>
      <c r="N74" s="49">
        <f ca="1">IFERROR(__xludf.DUMMYFUNCTION("IMPORTRANGE(""https://docs.google.com/spreadsheets/d/1Yj_ptqi66GCucihVvJfMjLAmec39IyEx_6qawtMGysU/edit?usp=sharing"",""สบก!AK31"")"),0)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IFERROR(__xludf.DUMMYFUNCTION("IMPORTRANGE(""https://docs.google.com/spreadsheets/d/11923uPwbBZFjjGgGUA6NLw09EwE0CqkOc4q9oUmW1yo/edit?usp=sharing"",""แม่ฮ่องสอน!J16"")"),0)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IFERROR(__xludf.DUMMYFUNCTION("IMPORTRANGE(""https://docs.google.com/spreadsheets/d/11923uPwbBZFjjGgGUA6NLw09EwE0CqkOc4q9oUmW1yo/edit?usp=sharing"",""แม่ฮ่องสอน!J17"")"),0)</f>
        <v>0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IFERROR(__xludf.DUMMYFUNCTION("IMPORTRANGE(""https://docs.google.com/spreadsheets/d/11923uPwbBZFjjGgGUA6NLw09EwE0CqkOc4q9oUmW1yo/edit?usp=sharing"",""แม่ฮ่องสอน!J18"")"),0)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IFERROR(__xludf.DUMMYFUNCTION("IMPORTRANGE(""https://docs.google.com/spreadsheets/d/11923uPwbBZFjjGgGUA6NLw09EwE0CqkOc4q9oUmW1yo/edit?usp=sharing"",""แม่ฮ่องสอน!J19"")"),0)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IFERROR(__xludf.DUMMYFUNCTION("IMPORTRANGE(""https://docs.google.com/spreadsheets/d/11923uPwbBZFjjGgGUA6NLw09EwE0CqkOc4q9oUmW1yo/edit?usp=sharing"",""แม่ฮ่องสอน!I20"")"),0)</f>
        <v>0</v>
      </c>
      <c r="J80" s="200">
        <f ca="1">IFERROR(__xludf.DUMMYFUNCTION("IMPORTRANGE(""https://docs.google.com/spreadsheets/d/11923uPwbBZFjjGgGUA6NLw09EwE0CqkOc4q9oUmW1yo/edit?usp=sharing"",""แม่ฮ่องสอน!J20"")"),0)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IFERROR(__xludf.DUMMYFUNCTION("IMPORTRANGE(""https://docs.google.com/spreadsheets/d/11923uPwbBZFjjGgGUA6NLw09EwE0CqkOc4q9oUmW1yo/edit?usp=sharing"",""แม่ฮ่องสอน!I21"")"),0)</f>
        <v>0</v>
      </c>
      <c r="J81" s="200">
        <f ca="1">IFERROR(__xludf.DUMMYFUNCTION("IMPORTRANGE(""https://docs.google.com/spreadsheets/d/11923uPwbBZFjjGgGUA6NLw09EwE0CqkOc4q9oUmW1yo/edit?usp=sharing"",""แม่ฮ่องสอน!J21"")"),0)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IFERROR(__xludf.DUMMYFUNCTION("IMPORTRANGE(""https://docs.google.com/spreadsheets/d/11923uPwbBZFjjGgGUA6NLw09EwE0CqkOc4q9oUmW1yo/edit?usp=sharing"",""แม่ฮ่องสอน!I22"")"),0)</f>
        <v>0</v>
      </c>
      <c r="J82" s="203">
        <f ca="1">IFERROR(__xludf.DUMMYFUNCTION("IMPORTRANGE(""https://docs.google.com/spreadsheets/d/11923uPwbBZFjjGgGUA6NLw09EwE0CqkOc4q9oUmW1yo/edit?usp=sharing"",""แม่ฮ่องสอน!J22"")"),0)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IFERROR(__xludf.DUMMYFUNCTION("IMPORTRANGE(""https://docs.google.com/spreadsheets/d/11923uPwbBZFjjGgGUA6NLw09EwE0CqkOc4q9oUmW1yo/edit?usp=sharing"",""แม่ฮ่องสอน!I23"")"),0)</f>
        <v>0</v>
      </c>
      <c r="J83" s="203">
        <f ca="1">IFERROR(__xludf.DUMMYFUNCTION("IMPORTRANGE(""https://docs.google.com/spreadsheets/d/11923uPwbBZFjjGgGUA6NLw09EwE0CqkOc4q9oUmW1yo/edit?usp=sharing"",""แม่ฮ่องสอน!J23"")"),0)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IFERROR(__xludf.DUMMYFUNCTION("IMPORTRANGE(""https://docs.google.com/spreadsheets/d/11923uPwbBZFjjGgGUA6NLw09EwE0CqkOc4q9oUmW1yo/edit?usp=sharing"",""แม่ฮ่องสอน!I24"")"),0)</f>
        <v>0</v>
      </c>
      <c r="J84" s="188">
        <f ca="1">IFERROR(__xludf.DUMMYFUNCTION("IMPORTRANGE(""https://docs.google.com/spreadsheets/d/11923uPwbBZFjjGgGUA6NLw09EwE0CqkOc4q9oUmW1yo/edit?usp=sharing"",""แม่ฮ่องสอน!J24"")"),0)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IFERROR(__xludf.DUMMYFUNCTION("IMPORTRANGE(""https://docs.google.com/spreadsheets/d/11923uPwbBZFjjGgGUA6NLw09EwE0CqkOc4q9oUmW1yo/edit?usp=sharing"",""แม่ฮ่องสอน!I25"")"),0)</f>
        <v>0</v>
      </c>
      <c r="J85" s="188">
        <f ca="1">IFERROR(__xludf.DUMMYFUNCTION("IMPORTRANGE(""https://docs.google.com/spreadsheets/d/11923uPwbBZFjjGgGUA6NLw09EwE0CqkOc4q9oUmW1yo/edit?usp=sharing"",""แม่ฮ่องสอน!J25"")"),0)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IFERROR(__xludf.DUMMYFUNCTION("IMPORTRANGE(""https://docs.google.com/spreadsheets/d/11923uPwbBZFjjGgGUA6NLw09EwE0CqkOc4q9oUmW1yo/edit?usp=sharing"",""แม่ฮ่องสอน!I26"")"),0)</f>
        <v>0</v>
      </c>
      <c r="J86" s="203">
        <f ca="1">IFERROR(__xludf.DUMMYFUNCTION("IMPORTRANGE(""https://docs.google.com/spreadsheets/d/11923uPwbBZFjjGgGUA6NLw09EwE0CqkOc4q9oUmW1yo/edit?usp=sharing"",""แม่ฮ่องสอน!J26"")"),0)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IFERROR(__xludf.DUMMYFUNCTION("IMPORTRANGE(""https://docs.google.com/spreadsheets/d/11923uPwbBZFjjGgGUA6NLw09EwE0CqkOc4q9oUmW1yo/edit?usp=sharing"",""แม่ฮ่องสอน!I27"")"),0)</f>
        <v>0</v>
      </c>
      <c r="J87" s="203">
        <f ca="1">IFERROR(__xludf.DUMMYFUNCTION("IMPORTRANGE(""https://docs.google.com/spreadsheets/d/11923uPwbBZFjjGgGUA6NLw09EwE0CqkOc4q9oUmW1yo/edit?usp=sharing"",""แม่ฮ่องสอน!J27"")"),0)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IFERROR(__xludf.DUMMYFUNCTION("IMPORTRANGE(""https://docs.google.com/spreadsheets/d/11923uPwbBZFjjGgGUA6NLw09EwE0CqkOc4q9oUmW1yo/edit?usp=sharing"",""แม่ฮ่องสอน!I28"")"),0)</f>
        <v>0</v>
      </c>
      <c r="J88" s="203">
        <f ca="1">IFERROR(__xludf.DUMMYFUNCTION("IMPORTRANGE(""https://docs.google.com/spreadsheets/d/11923uPwbBZFjjGgGUA6NLw09EwE0CqkOc4q9oUmW1yo/edit?usp=sharing"",""แม่ฮ่องสอน!J28"")"),0)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IFERROR(__xludf.DUMMYFUNCTION("IMPORTRANGE(""https://docs.google.com/spreadsheets/d/11923uPwbBZFjjGgGUA6NLw09EwE0CqkOc4q9oUmW1yo/edit?usp=sharing"",""แม่ฮ่องสอน!J29"")"),0)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IFERROR(__xludf.DUMMYFUNCTION("IMPORTRANGE(""https://docs.google.com/spreadsheets/d/11923uPwbBZFjjGgGUA6NLw09EwE0CqkOc4q9oUmW1yo/edit?usp=sharing"",""แม่ฮ่องสอน!J30"")"),0)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IFERROR(__xludf.DUMMYFUNCTION("IMPORTRANGE(""https://docs.google.com/spreadsheets/d/11923uPwbBZFjjGgGUA6NLw09EwE0CqkOc4q9oUmW1yo/edit?usp=sharing"",""แม่ฮ่องสอน!I32"")"),0)</f>
        <v>0</v>
      </c>
      <c r="J92" s="141">
        <f ca="1">IFERROR(__xludf.DUMMYFUNCTION("IMPORTRANGE(""https://docs.google.com/spreadsheets/d/11923uPwbBZFjjGgGUA6NLw09EwE0CqkOc4q9oUmW1yo/edit?usp=sharing"",""แม่ฮ่องสอน!J32"")"),0)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IFERROR(__xludf.DUMMYFUNCTION("IMPORTRANGE(""https://docs.google.com/spreadsheets/d/11923uPwbBZFjjGgGUA6NLw09EwE0CqkOc4q9oUmW1yo/edit?usp=sharing"",""แม่ฮ่องสอน!I33"")"),0)</f>
        <v>0</v>
      </c>
      <c r="J93" s="141">
        <f ca="1">IFERROR(__xludf.DUMMYFUNCTION("IMPORTRANGE(""https://docs.google.com/spreadsheets/d/11923uPwbBZFjjGgGUA6NLw09EwE0CqkOc4q9oUmW1yo/edit?usp=sharing"",""แม่ฮ่องสอน!J33"")"),0)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0</v>
      </c>
      <c r="M94" s="151">
        <f t="shared" ca="1" si="52"/>
        <v>0</v>
      </c>
      <c r="N94" s="151">
        <f t="shared" ca="1" si="52"/>
        <v>0</v>
      </c>
      <c r="O94" s="150">
        <f t="shared" ref="O94:O96" ca="1" si="53">IF(L94&gt;0,N94*100/L94,0)</f>
        <v>0</v>
      </c>
      <c r="P94" s="150">
        <f t="shared" ref="P94:P96" ca="1" si="54">IF(M94&gt;0,N94*100/M94,0)</f>
        <v>0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0</v>
      </c>
      <c r="M96" s="87">
        <f t="shared" ca="1" si="56"/>
        <v>0</v>
      </c>
      <c r="N96" s="87">
        <f t="shared" ca="1" si="56"/>
        <v>0</v>
      </c>
      <c r="O96" s="155">
        <f t="shared" ca="1" si="53"/>
        <v>0</v>
      </c>
      <c r="P96" s="155">
        <f t="shared" ca="1" si="54"/>
        <v>0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IFERROR(__xludf.DUMMYFUNCTION("IMPORTRANGE(""https://docs.google.com/spreadsheets/d/1Yj_ptqi66GCucihVvJfMjLAmec39IyEx_6qawtMGysU/edit?usp=sharing"",""สบก!AR31"")"),0)</f>
        <v>0</v>
      </c>
      <c r="N98" s="168">
        <f ca="1">IFERROR(__xludf.DUMMYFUNCTION("IMPORTRANGE(""https://docs.google.com/spreadsheets/d/1Yj_ptqi66GCucihVvJfMjLAmec39IyEx_6qawtMGysU/edit?usp=sharing"",""สบก!AS31"")"),0)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IFERROR(__xludf.DUMMYFUNCTION("IMPORTRANGE(""https://docs.google.com/spreadsheets/d/1Yj_ptqi66GCucihVvJfMjLAmec39IyEx_6qawtMGysU/edit?usp=sharing"",""สบก!AN31"")"),0)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IFERROR(__xludf.DUMMYFUNCTION("IMPORTRANGE(""https://docs.google.com/spreadsheets/d/1Yj_ptqi66GCucihVvJfMjLAmec39IyEx_6qawtMGysU/edit?usp=sharing"",""สบก!AO31"")"),0)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IFERROR(__xludf.DUMMYFUNCTION("IMPORTRANGE(""https://docs.google.com/spreadsheets/d/1Yj_ptqi66GCucihVvJfMjLAmec39IyEx_6qawtMGysU/edit?usp=sharing"",""สบก!AP31"")"),0)</f>
        <v>0</v>
      </c>
      <c r="M102" s="49"/>
      <c r="N102" s="49">
        <f ca="1">IFERROR(__xludf.DUMMYFUNCTION("IMPORTRANGE(""https://docs.google.com/spreadsheets/d/1Yj_ptqi66GCucihVvJfMjLAmec39IyEx_6qawtMGysU/edit?usp=sharing"",""สบก!AT31"")"),0)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IFERROR(__xludf.DUMMYFUNCTION("IMPORTRANGE(""https://docs.google.com/spreadsheets/d/11923uPwbBZFjjGgGUA6NLw09EwE0CqkOc4q9oUmW1yo/edit?usp=sharing"",""แม่ฮ่องสอน!J39"")"),0)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IFERROR(__xludf.DUMMYFUNCTION("IMPORTRANGE(""https://docs.google.com/spreadsheets/d/11923uPwbBZFjjGgGUA6NLw09EwE0CqkOc4q9oUmW1yo/edit?usp=sharing"",""แม่ฮ่องสอน!J40"")"),0)</f>
        <v>0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IFERROR(__xludf.DUMMYFUNCTION("IMPORTRANGE(""https://docs.google.com/spreadsheets/d/11923uPwbBZFjjGgGUA6NLw09EwE0CqkOc4q9oUmW1yo/edit?usp=sharing"",""แม่ฮ่องสอน!J41"")"),0)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IFERROR(__xludf.DUMMYFUNCTION("IMPORTRANGE(""https://docs.google.com/spreadsheets/d/11923uPwbBZFjjGgGUA6NLw09EwE0CqkOc4q9oUmW1yo/edit?usp=sharing"",""แม่ฮ่องสอน!J42"")"),0)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IFERROR(__xludf.DUMMYFUNCTION("IMPORTRANGE(""https://docs.google.com/spreadsheets/d/11923uPwbBZFjjGgGUA6NLw09EwE0CqkOc4q9oUmW1yo/edit?usp=sharing"",""แม่ฮ่องสอน!I43"")"),0)</f>
        <v>0</v>
      </c>
      <c r="J108" s="203">
        <f ca="1">IFERROR(__xludf.DUMMYFUNCTION("IMPORTRANGE(""https://docs.google.com/spreadsheets/d/11923uPwbBZFjjGgGUA6NLw09EwE0CqkOc4q9oUmW1yo/edit?usp=sharing"",""แม่ฮ่องสอน!J43"")"),0)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IFERROR(__xludf.DUMMYFUNCTION("IMPORTRANGE(""https://docs.google.com/spreadsheets/d/11923uPwbBZFjjGgGUA6NLw09EwE0CqkOc4q9oUmW1yo/edit?usp=sharing"",""แม่ฮ่องสอน!I44"")"),0)</f>
        <v>0</v>
      </c>
      <c r="J109" s="203">
        <f ca="1">IFERROR(__xludf.DUMMYFUNCTION("IMPORTRANGE(""https://docs.google.com/spreadsheets/d/11923uPwbBZFjjGgGUA6NLw09EwE0CqkOc4q9oUmW1yo/edit?usp=sharing"",""แม่ฮ่องสอน!J44"")"),0)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IFERROR(__xludf.DUMMYFUNCTION("IMPORTRANGE(""https://docs.google.com/spreadsheets/d/11923uPwbBZFjjGgGUA6NLw09EwE0CqkOc4q9oUmW1yo/edit?usp=sharing"",""แม่ฮ่องสอน!I45"")"),0)</f>
        <v>0</v>
      </c>
      <c r="J110" s="203">
        <f ca="1">IFERROR(__xludf.DUMMYFUNCTION("IMPORTRANGE(""https://docs.google.com/spreadsheets/d/11923uPwbBZFjjGgGUA6NLw09EwE0CqkOc4q9oUmW1yo/edit?usp=sharing"",""แม่ฮ่องสอน!J45"")"),0)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IFERROR(__xludf.DUMMYFUNCTION("IMPORTRANGE(""https://docs.google.com/spreadsheets/d/11923uPwbBZFjjGgGUA6NLw09EwE0CqkOc4q9oUmW1yo/edit?usp=sharing"",""แม่ฮ่องสอน!I46"")"),0)</f>
        <v>0</v>
      </c>
      <c r="J111" s="203">
        <f ca="1">IFERROR(__xludf.DUMMYFUNCTION("IMPORTRANGE(""https://docs.google.com/spreadsheets/d/11923uPwbBZFjjGgGUA6NLw09EwE0CqkOc4q9oUmW1yo/edit?usp=sharing"",""แม่ฮ่องสอน!J46"")"),0)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IFERROR(__xludf.DUMMYFUNCTION("IMPORTRANGE(""https://docs.google.com/spreadsheets/d/11923uPwbBZFjjGgGUA6NLw09EwE0CqkOc4q9oUmW1yo/edit?usp=sharing"",""แม่ฮ่องสอน!I47"")"),0)</f>
        <v>0</v>
      </c>
      <c r="J112" s="203">
        <f ca="1">IFERROR(__xludf.DUMMYFUNCTION("IMPORTRANGE(""https://docs.google.com/spreadsheets/d/11923uPwbBZFjjGgGUA6NLw09EwE0CqkOc4q9oUmW1yo/edit?usp=sharing"",""แม่ฮ่องสอน!J47"")"),0)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IFERROR(__xludf.DUMMYFUNCTION("IMPORTRANGE(""https://docs.google.com/spreadsheets/d/11923uPwbBZFjjGgGUA6NLw09EwE0CqkOc4q9oUmW1yo/edit?usp=sharing"",""แม่ฮ่องสอน!I48"")"),0)</f>
        <v>0</v>
      </c>
      <c r="J113" s="203">
        <f ca="1">IFERROR(__xludf.DUMMYFUNCTION("IMPORTRANGE(""https://docs.google.com/spreadsheets/d/11923uPwbBZFjjGgGUA6NLw09EwE0CqkOc4q9oUmW1yo/edit?usp=sharing"",""แม่ฮ่องสอน!J48"")"),0)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IFERROR(__xludf.DUMMYFUNCTION("IMPORTRANGE(""https://docs.google.com/spreadsheets/d/11923uPwbBZFjjGgGUA6NLw09EwE0CqkOc4q9oUmW1yo/edit?usp=sharing"",""แม่ฮ่องสอน!J49"")"),0)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IFERROR(__xludf.DUMMYFUNCTION("IMPORTRANGE(""https://docs.google.com/spreadsheets/d/11923uPwbBZFjjGgGUA6NLw09EwE0CqkOc4q9oUmW1yo/edit?usp=sharing"",""แม่ฮ่องสอน!J50"")"),0)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IFERROR(__xludf.DUMMYFUNCTION("IMPORTRANGE(""https://docs.google.com/spreadsheets/d/11923uPwbBZFjjGgGUA6NLw09EwE0CqkOc4q9oUmW1yo/edit?usp=sharing"",""แม่ฮ่องสอน!I52"")"),20)</f>
        <v>20</v>
      </c>
      <c r="J117" s="141">
        <f ca="1">IFERROR(__xludf.DUMMYFUNCTION("IMPORTRANGE(""https://docs.google.com/spreadsheets/d/11923uPwbBZFjjGgGUA6NLw09EwE0CqkOc4q9oUmW1yo/edit?usp=sharing"",""แม่ฮ่องสอน!J52"")"),20)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49480</v>
      </c>
      <c r="O118" s="150">
        <f t="shared" ref="O118:O120" ca="1" si="59">IF(L118&gt;0,N118*100/L118,0)</f>
        <v>60.019408054342556</v>
      </c>
      <c r="P118" s="150">
        <f t="shared" ref="P118:P120" ca="1" si="60">IF(M118&gt;0,N118*100/M118,0)</f>
        <v>74.473208910295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49480</v>
      </c>
      <c r="O120" s="155">
        <f t="shared" ca="1" si="59"/>
        <v>60.019408054342556</v>
      </c>
      <c r="P120" s="155">
        <f t="shared" ca="1" si="60"/>
        <v>74.473208910295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IFERROR(__xludf.DUMMYFUNCTION("IMPORTRANGE(""https://docs.google.com/spreadsheets/d/1Yj_ptqi66GCucihVvJfMjLAmec39IyEx_6qawtMGysU/edit?usp=sharing"",""สบก!BA31"")"),66440)</f>
        <v>66440</v>
      </c>
      <c r="N122" s="168">
        <f ca="1">IFERROR(__xludf.DUMMYFUNCTION("IMPORTRANGE(""https://docs.google.com/spreadsheets/d/1Yj_ptqi66GCucihVvJfMjLAmec39IyEx_6qawtMGysU/edit?usp=sharing"",""สบก!BB31"")"),49480)</f>
        <v>49480</v>
      </c>
      <c r="O122" s="168">
        <f ca="1">IF(L122&gt;0,N122*100/L122,0)</f>
        <v>60.019408054342556</v>
      </c>
      <c r="P122" s="168">
        <f ca="1">IF(M122&gt;0,N122*100/M122,0)</f>
        <v>74.473208910295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IFERROR(__xludf.DUMMYFUNCTION("IMPORTRANGE(""https://docs.google.com/spreadsheets/d/1Yj_ptqi66GCucihVvJfMjLAmec39IyEx_6qawtMGysU/edit?usp=sharing"",""สบก!AW31"")"),0)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IFERROR(__xludf.DUMMYFUNCTION("IMPORTRANGE(""https://docs.google.com/spreadsheets/d/1Yj_ptqi66GCucihVvJfMjLAmec39IyEx_6qawtMGysU/edit?usp=sharing"",""สบก!AX31"")"),82440)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IFERROR(__xludf.DUMMYFUNCTION("IMPORTRANGE(""https://docs.google.com/spreadsheets/d/1Yj_ptqi66GCucihVvJfMjLAmec39IyEx_6qawtMGysU/edit?usp=sharing"",""สบก!AY31"")"),0)</f>
        <v>0</v>
      </c>
      <c r="M126" s="49"/>
      <c r="N126" s="49">
        <f ca="1">IFERROR(__xludf.DUMMYFUNCTION("IMPORTRANGE(""https://docs.google.com/spreadsheets/d/1Yj_ptqi66GCucihVvJfMjLAmec39IyEx_6qawtMGysU/edit?usp=sharing"",""สบก!BC31"")"),0)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261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IFERROR(__xludf.DUMMYFUNCTION("IMPORTRANGE(""https://docs.google.com/spreadsheets/d/11923uPwbBZFjjGgGUA6NLw09EwE0CqkOc4q9oUmW1yo/edit?usp=sharing"",""แม่ฮ่องสอน!J58"")"),0)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IFERROR(__xludf.DUMMYFUNCTION("IMPORTRANGE(""https://docs.google.com/spreadsheets/d/11923uPwbBZFjjGgGUA6NLw09EwE0CqkOc4q9oUmW1yo/edit?usp=sharing"",""แม่ฮ่องสอน!J59"")"),1)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IFERROR(__xludf.DUMMYFUNCTION("IMPORTRANGE(""https://docs.google.com/spreadsheets/d/11923uPwbBZFjjGgGUA6NLw09EwE0CqkOc4q9oUmW1yo/edit?usp=sharing"",""แม่ฮ่องสอน!J60"")"),1)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IFERROR(__xludf.DUMMYFUNCTION("IMPORTRANGE(""https://docs.google.com/spreadsheets/d/11923uPwbBZFjjGgGUA6NLw09EwE0CqkOc4q9oUmW1yo/edit?usp=sharing"",""แม่ฮ่องสอน!J61"")"),1)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IFERROR(__xludf.DUMMYFUNCTION("IMPORTRANGE(""https://docs.google.com/spreadsheets/d/11923uPwbBZFjjGgGUA6NLw09EwE0CqkOc4q9oUmW1yo/edit?usp=sharing"",""แม่ฮ่องสอน!I62"")"),20)</f>
        <v>20</v>
      </c>
      <c r="J132" s="203">
        <f ca="1">IFERROR(__xludf.DUMMYFUNCTION("IMPORTRANGE(""https://docs.google.com/spreadsheets/d/11923uPwbBZFjjGgGUA6NLw09EwE0CqkOc4q9oUmW1yo/edit?usp=sharing"",""แม่ฮ่องสอน!J62"")"),20)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IFERROR(__xludf.DUMMYFUNCTION("IMPORTRANGE(""https://docs.google.com/spreadsheets/d/11923uPwbBZFjjGgGUA6NLw09EwE0CqkOc4q9oUmW1yo/edit?usp=sharing"",""แม่ฮ่องสอน!I63"")"),20)</f>
        <v>20</v>
      </c>
      <c r="J133" s="203">
        <f ca="1">IFERROR(__xludf.DUMMYFUNCTION("IMPORTRANGE(""https://docs.google.com/spreadsheets/d/11923uPwbBZFjjGgGUA6NLw09EwE0CqkOc4q9oUmW1yo/edit?usp=sharing"",""แม่ฮ่องสอน!J63"")"),18)</f>
        <v>18</v>
      </c>
      <c r="K133" s="223">
        <f t="shared" ca="1" si="63"/>
        <v>90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IFERROR(__xludf.DUMMYFUNCTION("IMPORTRANGE(""https://docs.google.com/spreadsheets/d/11923uPwbBZFjjGgGUA6NLw09EwE0CqkOc4q9oUmW1yo/edit?usp=sharing"",""แม่ฮ่องสอน!J64"")"),0)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IFERROR(__xludf.DUMMYFUNCTION("IMPORTRANGE(""https://docs.google.com/spreadsheets/d/11923uPwbBZFjjGgGUA6NLw09EwE0CqkOc4q9oUmW1yo/edit?usp=sharing"",""แม่ฮ่องสอน!J65"")"),0)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IFERROR(__xludf.DUMMYFUNCTION("IMPORTRANGE(""https://docs.google.com/spreadsheets/d/11923uPwbBZFjjGgGUA6NLw09EwE0CqkOc4q9oUmW1yo/edit?usp=sharing"",""แม่ฮ่องสอน!I68"")"),0)</f>
        <v>0</v>
      </c>
      <c r="J138" s="266">
        <f ca="1">IFERROR(__xludf.DUMMYFUNCTION("IMPORTRANGE(""https://docs.google.com/spreadsheets/d/11923uPwbBZFjjGgGUA6NLw09EwE0CqkOc4q9oUmW1yo/edit?usp=sharing"",""แม่ฮ่องสอน!J68"")"),0)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69500</v>
      </c>
      <c r="M140" s="151">
        <f t="shared" ca="1" si="64"/>
        <v>39750</v>
      </c>
      <c r="N140" s="151">
        <f t="shared" ca="1" si="64"/>
        <v>36940</v>
      </c>
      <c r="O140" s="150">
        <f t="shared" ref="O140:O142" ca="1" si="65">IF(L140&gt;0,N140*100/L140,0)</f>
        <v>53.151079136690647</v>
      </c>
      <c r="P140" s="150">
        <f t="shared" ref="P140:P142" ca="1" si="66">IF(M140&gt;0,N140*100/M140,0)</f>
        <v>92.930817610062888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69500</v>
      </c>
      <c r="M142" s="87">
        <f t="shared" ca="1" si="68"/>
        <v>39750</v>
      </c>
      <c r="N142" s="87">
        <f t="shared" ca="1" si="68"/>
        <v>36940</v>
      </c>
      <c r="O142" s="155">
        <f t="shared" ca="1" si="65"/>
        <v>53.151079136690647</v>
      </c>
      <c r="P142" s="155">
        <f t="shared" ca="1" si="66"/>
        <v>92.930817610062888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69500</v>
      </c>
      <c r="M144" s="167">
        <f ca="1">IFERROR(__xludf.DUMMYFUNCTION("IMPORTRANGE(""https://docs.google.com/spreadsheets/d/1Yj_ptqi66GCucihVvJfMjLAmec39IyEx_6qawtMGysU/edit?usp=sharing"",""สบก!BJ31"")"),39750)</f>
        <v>39750</v>
      </c>
      <c r="N144" s="168">
        <f ca="1">IFERROR(__xludf.DUMMYFUNCTION("IMPORTRANGE(""https://docs.google.com/spreadsheets/d/1Yj_ptqi66GCucihVvJfMjLAmec39IyEx_6qawtMGysU/edit?usp=sharing"",""สบก!BK31"")"),36940)</f>
        <v>36940</v>
      </c>
      <c r="O144" s="168">
        <f ca="1">IF(L144&gt;0,N144*100/L144,0)</f>
        <v>53.151079136690647</v>
      </c>
      <c r="P144" s="168">
        <f ca="1">IF(M144&gt;0,N144*100/M144,0)</f>
        <v>92.930817610062888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IFERROR(__xludf.DUMMYFUNCTION("IMPORTRANGE(""https://docs.google.com/spreadsheets/d/1Yj_ptqi66GCucihVvJfMjLAmec39IyEx_6qawtMGysU/edit?usp=sharing"",""สบก!BF31"")"),0)</f>
        <v>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IFERROR(__xludf.DUMMYFUNCTION("IMPORTRANGE(""https://docs.google.com/spreadsheets/d/1Yj_ptqi66GCucihVvJfMjLAmec39IyEx_6qawtMGysU/edit?usp=sharing"",""สบก!BG31"")"),69500)</f>
        <v>69500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IFERROR(__xludf.DUMMYFUNCTION("IMPORTRANGE(""https://docs.google.com/spreadsheets/d/1Yj_ptqi66GCucihVvJfMjLAmec39IyEx_6qawtMGysU/edit?usp=sharing"",""สบก!BH31"")"),0)</f>
        <v>0</v>
      </c>
      <c r="M148" s="49"/>
      <c r="N148" s="49">
        <f ca="1">IFERROR(__xludf.DUMMYFUNCTION("IMPORTRANGE(""https://docs.google.com/spreadsheets/d/1Yj_ptqi66GCucihVvJfMjLAmec39IyEx_6qawtMGysU/edit?usp=sharing"",""สบก!BL31"")"),0)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IFERROR(__xludf.DUMMYFUNCTION("IMPORTRANGE(""https://docs.google.com/spreadsheets/d/11923uPwbBZFjjGgGUA6NLw09EwE0CqkOc4q9oUmW1yo/edit?usp=sharing"",""แม่ฮ่องสอน!I74"")"),4)</f>
        <v>4</v>
      </c>
      <c r="J149" s="274">
        <f ca="1">IFERROR(__xludf.DUMMYFUNCTION("IMPORTRANGE(""https://docs.google.com/spreadsheets/d/11923uPwbBZFjjGgGUA6NLw09EwE0CqkOc4q9oUmW1yo/edit?usp=sharing"",""แม่ฮ่องสอน!J74"")"),1)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IFERROR(__xludf.DUMMYFUNCTION("IMPORTRANGE(""https://docs.google.com/spreadsheets/d/11923uPwbBZFjjGgGUA6NLw09EwE0CqkOc4q9oUmW1yo/edit?usp=sharing"",""แม่ฮ่องสอน!J79"")"),0)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IFERROR(__xludf.DUMMYFUNCTION("IMPORTRANGE(""https://docs.google.com/spreadsheets/d/11923uPwbBZFjjGgGUA6NLw09EwE0CqkOc4q9oUmW1yo/edit?usp=sharing"",""แม่ฮ่องสอน!J80"")"),1)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IFERROR(__xludf.DUMMYFUNCTION("IMPORTRANGE(""https://docs.google.com/spreadsheets/d/11923uPwbBZFjjGgGUA6NLw09EwE0CqkOc4q9oUmW1yo/edit?usp=sharing"",""แม่ฮ่องสอน!J81"")"),1)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IFERROR(__xludf.DUMMYFUNCTION("IMPORTRANGE(""https://docs.google.com/spreadsheets/d/11923uPwbBZFjjGgGUA6NLw09EwE0CqkOc4q9oUmW1yo/edit?usp=sharing"",""แม่ฮ่องสอน!J82"")"),1)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IFERROR(__xludf.DUMMYFUNCTION("IMPORTRANGE(""https://docs.google.com/spreadsheets/d/11923uPwbBZFjjGgGUA6NLw09EwE0CqkOc4q9oUmW1yo/edit?usp=sharing"",""แม่ฮ่องสอน!I83"")"),4)</f>
        <v>4</v>
      </c>
      <c r="J158" s="188">
        <f ca="1">IFERROR(__xludf.DUMMYFUNCTION("IMPORTRANGE(""https://docs.google.com/spreadsheets/d/11923uPwbBZFjjGgGUA6NLw09EwE0CqkOc4q9oUmW1yo/edit?usp=sharing"",""แม่ฮ่องสอน!J83"")"),1)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IFERROR(__xludf.DUMMYFUNCTION("IMPORTRANGE(""https://docs.google.com/spreadsheets/d/11923uPwbBZFjjGgGUA6NLw09EwE0CqkOc4q9oUmW1yo/edit?usp=sharing"",""แม่ฮ่องสอน!J84"")"),20)</f>
        <v>20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IFERROR(__xludf.DUMMYFUNCTION("IMPORTRANGE(""https://docs.google.com/spreadsheets/d/11923uPwbBZFjjGgGUA6NLw09EwE0CqkOc4q9oUmW1yo/edit?usp=sharing"",""แม่ฮ่องสอน!J85"")"),20)</f>
        <v>20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IFERROR(__xludf.DUMMYFUNCTION("IMPORTRANGE(""https://docs.google.com/spreadsheets/d/11923uPwbBZFjjGgGUA6NLw09EwE0CqkOc4q9oUmW1yo/edit?usp=sharing"",""แม่ฮ่องสอน!J86"")"),0)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IFERROR(__xludf.DUMMYFUNCTION("IMPORTRANGE(""https://docs.google.com/spreadsheets/d/11923uPwbBZFjjGgGUA6NLw09EwE0CqkOc4q9oUmW1yo/edit?usp=sharing"",""แม่ฮ่องสอน!J87"")"),0)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IFERROR(__xludf.DUMMYFUNCTION("IMPORTRANGE(""https://docs.google.com/spreadsheets/d/11923uPwbBZFjjGgGUA6NLw09EwE0CqkOc4q9oUmW1yo/edit?usp=sharing"",""แม่ฮ่องสอน!J88"")"),0)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IFERROR(__xludf.DUMMYFUNCTION("IMPORTRANGE(""https://docs.google.com/spreadsheets/d/11923uPwbBZFjjGgGUA6NLw09EwE0CqkOc4q9oUmW1yo/edit?usp=sharing"",""แม่ฮ่องสอน!I89"")"),2)</f>
        <v>2</v>
      </c>
      <c r="J164" s="282">
        <f ca="1">IFERROR(__xludf.DUMMYFUNCTION("IMPORTRANGE(""https://docs.google.com/spreadsheets/d/11923uPwbBZFjjGgGUA6NLw09EwE0CqkOc4q9oUmW1yo/edit?usp=sharing"",""แม่ฮ่องสอน!J89"")"),2)</f>
        <v>2</v>
      </c>
      <c r="K164" s="283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IFERROR(__xludf.DUMMYFUNCTION("IMPORTRANGE(""https://docs.google.com/spreadsheets/d/11923uPwbBZFjjGgGUA6NLw09EwE0CqkOc4q9oUmW1yo/edit?usp=sharing"",""แม่ฮ่องสอน!J94"")"),0)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IFERROR(__xludf.DUMMYFUNCTION("IMPORTRANGE(""https://docs.google.com/spreadsheets/d/11923uPwbBZFjjGgGUA6NLw09EwE0CqkOc4q9oUmW1yo/edit?usp=sharing"",""แม่ฮ่องสอน!J95"")"),1)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IFERROR(__xludf.DUMMYFUNCTION("IMPORTRANGE(""https://docs.google.com/spreadsheets/d/11923uPwbBZFjjGgGUA6NLw09EwE0CqkOc4q9oUmW1yo/edit?usp=sharing"",""แม่ฮ่องสอน!J96"")"),1)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IFERROR(__xludf.DUMMYFUNCTION("IMPORTRANGE(""https://docs.google.com/spreadsheets/d/11923uPwbBZFjjGgGUA6NLw09EwE0CqkOc4q9oUmW1yo/edit?usp=sharing"",""แม่ฮ่องสอน!J97"")"),1)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IFERROR(__xludf.DUMMYFUNCTION("IMPORTRANGE(""https://docs.google.com/spreadsheets/d/11923uPwbBZFjjGgGUA6NLw09EwE0CqkOc4q9oUmW1yo/edit?usp=sharing"",""แม่ฮ่องสอน!I98"")"),2)</f>
        <v>2</v>
      </c>
      <c r="J173" s="188">
        <f ca="1">IFERROR(__xludf.DUMMYFUNCTION("IMPORTRANGE(""https://docs.google.com/spreadsheets/d/11923uPwbBZFjjGgGUA6NLw09EwE0CqkOc4q9oUmW1yo/edit?usp=sharing"",""แม่ฮ่องสอน!J98"")"),2)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IFERROR(__xludf.DUMMYFUNCTION("IMPORTRANGE(""https://docs.google.com/spreadsheets/d/11923uPwbBZFjjGgGUA6NLw09EwE0CqkOc4q9oUmW1yo/edit?usp=sharing"",""แม่ฮ่องสอน!J99"")"),0)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IFERROR(__xludf.DUMMYFUNCTION("IMPORTRANGE(""https://docs.google.com/spreadsheets/d/11923uPwbBZFjjGgGUA6NLw09EwE0CqkOc4q9oUmW1yo/edit?usp=sharing"",""แม่ฮ่องสอน!J100"")"),0)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IFERROR(__xludf.DUMMYFUNCTION("IMPORTRANGE(""https://docs.google.com/spreadsheets/d/11923uPwbBZFjjGgGUA6NLw09EwE0CqkOc4q9oUmW1yo/edit?usp=sharing"",""แม่ฮ่องสอน!I101"")"),0)</f>
        <v>0</v>
      </c>
      <c r="J176" s="282">
        <f ca="1">IFERROR(__xludf.DUMMYFUNCTION("IMPORTRANGE(""https://docs.google.com/spreadsheets/d/11923uPwbBZFjjGgGUA6NLw09EwE0CqkOc4q9oUmW1yo/edit?usp=sharing"",""แม่ฮ่องสอน!J101"")"),0)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IFERROR(__xludf.DUMMYFUNCTION("IMPORTRANGE(""https://docs.google.com/spreadsheets/d/11923uPwbBZFjjGgGUA6NLw09EwE0CqkOc4q9oUmW1yo/edit?usp=sharing"",""แม่ฮ่องสอน!J106"")"),0)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IFERROR(__xludf.DUMMYFUNCTION("IMPORTRANGE(""https://docs.google.com/spreadsheets/d/11923uPwbBZFjjGgGUA6NLw09EwE0CqkOc4q9oUmW1yo/edit?usp=sharing"",""แม่ฮ่องสอน!J107"")"),0)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IFERROR(__xludf.DUMMYFUNCTION("IMPORTRANGE(""https://docs.google.com/spreadsheets/d/11923uPwbBZFjjGgGUA6NLw09EwE0CqkOc4q9oUmW1yo/edit?usp=sharing"",""แม่ฮ่องสอน!J108"")"),0)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IFERROR(__xludf.DUMMYFUNCTION("IMPORTRANGE(""https://docs.google.com/spreadsheets/d/11923uPwbBZFjjGgGUA6NLw09EwE0CqkOc4q9oUmW1yo/edit?usp=sharing"",""แม่ฮ่องสอน!J109"")"),0)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IFERROR(__xludf.DUMMYFUNCTION("IMPORTRANGE(""https://docs.google.com/spreadsheets/d/11923uPwbBZFjjGgGUA6NLw09EwE0CqkOc4q9oUmW1yo/edit?usp=sharing"",""แม่ฮ่องสอน!I110"")"),0)</f>
        <v>0</v>
      </c>
      <c r="J185" s="203">
        <f ca="1">IFERROR(__xludf.DUMMYFUNCTION("IMPORTRANGE(""https://docs.google.com/spreadsheets/d/11923uPwbBZFjjGgGUA6NLw09EwE0CqkOc4q9oUmW1yo/edit?usp=sharing"",""แม่ฮ่องสอน!J110"")"),0)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IFERROR(__xludf.DUMMYFUNCTION("IMPORTRANGE(""https://docs.google.com/spreadsheets/d/11923uPwbBZFjjGgGUA6NLw09EwE0CqkOc4q9oUmW1yo/edit?usp=sharing"",""แม่ฮ่องสอน!I111"")"),0)</f>
        <v>0</v>
      </c>
      <c r="J186" s="203">
        <f ca="1">IFERROR(__xludf.DUMMYFUNCTION("IMPORTRANGE(""https://docs.google.com/spreadsheets/d/11923uPwbBZFjjGgGUA6NLw09EwE0CqkOc4q9oUmW1yo/edit?usp=sharing"",""แม่ฮ่องสอน!J111"")"),0)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IFERROR(__xludf.DUMMYFUNCTION("IMPORTRANGE(""https://docs.google.com/spreadsheets/d/11923uPwbBZFjjGgGUA6NLw09EwE0CqkOc4q9oUmW1yo/edit?usp=sharing"",""แม่ฮ่องสอน!J112"")"),0)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IFERROR(__xludf.DUMMYFUNCTION("IMPORTRANGE(""https://docs.google.com/spreadsheets/d/11923uPwbBZFjjGgGUA6NLw09EwE0CqkOc4q9oUmW1yo/edit?usp=sharing"",""แม่ฮ่องสอน!J113"")"),0)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IFERROR(__xludf.DUMMYFUNCTION("IMPORTRANGE(""https://docs.google.com/spreadsheets/d/11923uPwbBZFjjGgGUA6NLw09EwE0CqkOc4q9oUmW1yo/edit?usp=sharing"",""แม่ฮ่องสอน!I114"")"),100000)</f>
        <v>100000</v>
      </c>
      <c r="J189" s="282">
        <f ca="1">IFERROR(__xludf.DUMMYFUNCTION("IMPORTRANGE(""https://docs.google.com/spreadsheets/d/11923uPwbBZFjjGgGUA6NLw09EwE0CqkOc4q9oUmW1yo/edit?usp=sharing"",""แม่ฮ่องสอน!J114"")"),0)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IFERROR(__xludf.DUMMYFUNCTION("IMPORTRANGE(""https://docs.google.com/spreadsheets/d/11923uPwbBZFjjGgGUA6NLw09EwE0CqkOc4q9oUmW1yo/edit?usp=sharing"",""แม่ฮ่องสอน!J119"")"),0)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IFERROR(__xludf.DUMMYFUNCTION("IMPORTRANGE(""https://docs.google.com/spreadsheets/d/11923uPwbBZFjjGgGUA6NLw09EwE0CqkOc4q9oUmW1yo/edit?usp=sharing"",""แม่ฮ่องสอน!J120"")"),1)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IFERROR(__xludf.DUMMYFUNCTION("IMPORTRANGE(""https://docs.google.com/spreadsheets/d/11923uPwbBZFjjGgGUA6NLw09EwE0CqkOc4q9oUmW1yo/edit?usp=sharing"",""แม่ฮ่องสอน!J121"")"),1)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IFERROR(__xludf.DUMMYFUNCTION("IMPORTRANGE(""https://docs.google.com/spreadsheets/d/11923uPwbBZFjjGgGUA6NLw09EwE0CqkOc4q9oUmW1yo/edit?usp=sharing"",""แม่ฮ่องสอน!J122"")"),1)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IFERROR(__xludf.DUMMYFUNCTION("IMPORTRANGE(""https://docs.google.com/spreadsheets/d/11923uPwbBZFjjGgGUA6NLw09EwE0CqkOc4q9oUmW1yo/edit?usp=sharing"",""แม่ฮ่องสอน!I124"")"),100000)</f>
        <v>100000</v>
      </c>
      <c r="J199" s="188">
        <f ca="1">IFERROR(__xludf.DUMMYFUNCTION("IMPORTRANGE(""https://docs.google.com/spreadsheets/d/11923uPwbBZFjjGgGUA6NLw09EwE0CqkOc4q9oUmW1yo/edit?usp=sharing"",""แม่ฮ่องสอน!J124"")"),100000)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IFERROR(__xludf.DUMMYFUNCTION("IMPORTRANGE(""https://docs.google.com/spreadsheets/d/11923uPwbBZFjjGgGUA6NLw09EwE0CqkOc4q9oUmW1yo/edit?usp=sharing"",""แม่ฮ่องสอน!I125"")"),100000)</f>
        <v>100000</v>
      </c>
      <c r="J200" s="188">
        <f ca="1">IFERROR(__xludf.DUMMYFUNCTION("IMPORTRANGE(""https://docs.google.com/spreadsheets/d/11923uPwbBZFjjGgGUA6NLw09EwE0CqkOc4q9oUmW1yo/edit?usp=sharing"",""แม่ฮ่องสอน!J125"")"),0)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IFERROR(__xludf.DUMMYFUNCTION("IMPORTRANGE(""https://docs.google.com/spreadsheets/d/11923uPwbBZFjjGgGUA6NLw09EwE0CqkOc4q9oUmW1yo/edit?usp=sharing"",""แม่ฮ่องสอน!I126"")"),0)</f>
        <v>0</v>
      </c>
      <c r="J201" s="188">
        <f ca="1">IFERROR(__xludf.DUMMYFUNCTION("IMPORTRANGE(""https://docs.google.com/spreadsheets/d/11923uPwbBZFjjGgGUA6NLw09EwE0CqkOc4q9oUmW1yo/edit?usp=sharing"",""แม่ฮ่องสอน!J126"")"),0)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IFERROR(__xludf.DUMMYFUNCTION("IMPORTRANGE(""https://docs.google.com/spreadsheets/d/11923uPwbBZFjjGgGUA6NLw09EwE0CqkOc4q9oUmW1yo/edit?usp=sharing"",""แม่ฮ่องสอน!J127"")"),0)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IFERROR(__xludf.DUMMYFUNCTION("IMPORTRANGE(""https://docs.google.com/spreadsheets/d/11923uPwbBZFjjGgGUA6NLw09EwE0CqkOc4q9oUmW1yo/edit?usp=sharing"",""แม่ฮ่องสอน!J128"")"),0)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IFERROR(__xludf.DUMMYFUNCTION("IMPORTRANGE(""https://docs.google.com/spreadsheets/d/11923uPwbBZFjjGgGUA6NLw09EwE0CqkOc4q9oUmW1yo/edit?usp=sharing"",""แม่ฮ่องสอน!I129"")"),0)</f>
        <v>0</v>
      </c>
      <c r="J204" s="282">
        <f ca="1">IFERROR(__xludf.DUMMYFUNCTION("IMPORTRANGE(""https://docs.google.com/spreadsheets/d/11923uPwbBZFjjGgGUA6NLw09EwE0CqkOc4q9oUmW1yo/edit?usp=sharing"",""แม่ฮ่องสอน!J129"")"),0)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IFERROR(__xludf.DUMMYFUNCTION("IMPORTRANGE(""https://docs.google.com/spreadsheets/d/11923uPwbBZFjjGgGUA6NLw09EwE0CqkOc4q9oUmW1yo/edit?usp=sharing"",""แม่ฮ่องสอน!J134"")"),0)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IFERROR(__xludf.DUMMYFUNCTION("IMPORTRANGE(""https://docs.google.com/spreadsheets/d/11923uPwbBZFjjGgGUA6NLw09EwE0CqkOc4q9oUmW1yo/edit?usp=sharing"",""แม่ฮ่องสอน!J135"")"),0)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IFERROR(__xludf.DUMMYFUNCTION("IMPORTRANGE(""https://docs.google.com/spreadsheets/d/11923uPwbBZFjjGgGUA6NLw09EwE0CqkOc4q9oUmW1yo/edit?usp=sharing"",""แม่ฮ่องสอน!J136"")"),0)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IFERROR(__xludf.DUMMYFUNCTION("IMPORTRANGE(""https://docs.google.com/spreadsheets/d/11923uPwbBZFjjGgGUA6NLw09EwE0CqkOc4q9oUmW1yo/edit?usp=sharing"",""แม่ฮ่องสอน!J137"")"),0)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IFERROR(__xludf.DUMMYFUNCTION("IMPORTRANGE(""https://docs.google.com/spreadsheets/d/11923uPwbBZFjjGgGUA6NLw09EwE0CqkOc4q9oUmW1yo/edit?usp=sharing"",""แม่ฮ่องสอน!I138"")"),0)</f>
        <v>0</v>
      </c>
      <c r="J213" s="203">
        <f ca="1">IFERROR(__xludf.DUMMYFUNCTION("IMPORTRANGE(""https://docs.google.com/spreadsheets/d/11923uPwbBZFjjGgGUA6NLw09EwE0CqkOc4q9oUmW1yo/edit?usp=sharing"",""แม่ฮ่องสอน!J138"")"),0)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IFERROR(__xludf.DUMMYFUNCTION("IMPORTRANGE(""https://docs.google.com/spreadsheets/d/11923uPwbBZFjjGgGUA6NLw09EwE0CqkOc4q9oUmW1yo/edit?usp=sharing"",""แม่ฮ่องสอน!I140"")"),0)</f>
        <v>0</v>
      </c>
      <c r="J215" s="203">
        <f ca="1">IFERROR(__xludf.DUMMYFUNCTION("IMPORTRANGE(""https://docs.google.com/spreadsheets/d/11923uPwbBZFjjGgGUA6NLw09EwE0CqkOc4q9oUmW1yo/edit?usp=sharing"",""แม่ฮ่องสอน!J140"")"),0)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IFERROR(__xludf.DUMMYFUNCTION("IMPORTRANGE(""https://docs.google.com/spreadsheets/d/11923uPwbBZFjjGgGUA6NLw09EwE0CqkOc4q9oUmW1yo/edit?usp=sharing"",""แม่ฮ่องสอน!I141"")"),0)</f>
        <v>0</v>
      </c>
      <c r="J216" s="203">
        <f ca="1">IFERROR(__xludf.DUMMYFUNCTION("IMPORTRANGE(""https://docs.google.com/spreadsheets/d/11923uPwbBZFjjGgGUA6NLw09EwE0CqkOc4q9oUmW1yo/edit?usp=sharing"",""แม่ฮ่องสอน!J141"")"),0)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IFERROR(__xludf.DUMMYFUNCTION("IMPORTRANGE(""https://docs.google.com/spreadsheets/d/11923uPwbBZFjjGgGUA6NLw09EwE0CqkOc4q9oUmW1yo/edit?usp=sharing"",""แม่ฮ่องสอน!J142"")"),0)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IFERROR(__xludf.DUMMYFUNCTION("IMPORTRANGE(""https://docs.google.com/spreadsheets/d/11923uPwbBZFjjGgGUA6NLw09EwE0CqkOc4q9oUmW1yo/edit?usp=sharing"",""แม่ฮ่องสอน!J143"")"),0)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IFERROR(__xludf.DUMMYFUNCTION("IMPORTRANGE(""https://docs.google.com/spreadsheets/d/11923uPwbBZFjjGgGUA6NLw09EwE0CqkOc4q9oUmW1yo/edit?usp=sharing"",""แม่ฮ่องสอน!I144"")"),13)</f>
        <v>13</v>
      </c>
      <c r="J219" s="266">
        <f ca="1">IFERROR(__xludf.DUMMYFUNCTION("IMPORTRANGE(""https://docs.google.com/spreadsheets/d/11923uPwbBZFjjGgGUA6NLw09EwE0CqkOc4q9oUmW1yo/edit?usp=sharing"",""แม่ฮ่องสอน!J144"")"),13)</f>
        <v>13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19295</v>
      </c>
      <c r="M220" s="151">
        <f t="shared" ca="1" si="72"/>
        <v>19295</v>
      </c>
      <c r="N220" s="151">
        <f t="shared" ca="1" si="72"/>
        <v>19295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19295</v>
      </c>
      <c r="M222" s="87">
        <f t="shared" ca="1" si="76"/>
        <v>19295</v>
      </c>
      <c r="N222" s="87">
        <f t="shared" ca="1" si="76"/>
        <v>19295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IFERROR(__xludf.DUMMYFUNCTION("IMPORTRANGE(""https://docs.google.com/spreadsheets/d/1Yj_ptqi66GCucihVvJfMjLAmec39IyEx_6qawtMGysU/edit?usp=sharing"",""สบก!BS31"")"),19295)</f>
        <v>19295</v>
      </c>
      <c r="N224" s="168">
        <f ca="1">IFERROR(__xludf.DUMMYFUNCTION("IMPORTRANGE(""https://docs.google.com/spreadsheets/d/1Yj_ptqi66GCucihVvJfMjLAmec39IyEx_6qawtMGysU/edit?usp=sharing"",""สบก!BT31"")"),19295)</f>
        <v>19295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IFERROR(__xludf.DUMMYFUNCTION("IMPORTRANGE(""https://docs.google.com/spreadsheets/d/1Yj_ptqi66GCucihVvJfMjLAmec39IyEx_6qawtMGysU/edit?usp=sharing"",""สบก!BO31"")"),0)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IFERROR(__xludf.DUMMYFUNCTION("IMPORTRANGE(""https://docs.google.com/spreadsheets/d/1Yj_ptqi66GCucihVvJfMjLAmec39IyEx_6qawtMGysU/edit?usp=sharing"",""สบก!BP31"")"),19295)</f>
        <v>19295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IFERROR(__xludf.DUMMYFUNCTION("IMPORTRANGE(""https://docs.google.com/spreadsheets/d/1Yj_ptqi66GCucihVvJfMjLAmec39IyEx_6qawtMGysU/edit?usp=sharing"",""สบก!BQ31"")"),0)</f>
        <v>0</v>
      </c>
      <c r="M228" s="49"/>
      <c r="N228" s="49">
        <f ca="1">IFERROR(__xludf.DUMMYFUNCTION("IMPORTRANGE(""https://docs.google.com/spreadsheets/d/1Yj_ptqi66GCucihVvJfMjLAmec39IyEx_6qawtMGysU/edit?usp=sharing"",""สบก!BU31"")"),0)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IFERROR(__xludf.DUMMYFUNCTION("IMPORTRANGE(""https://docs.google.com/spreadsheets/d/11923uPwbBZFjjGgGUA6NLw09EwE0CqkOc4q9oUmW1yo/edit?usp=sharing"",""แม่ฮ่องสอน!I149"")"),13)</f>
        <v>13</v>
      </c>
      <c r="J229" s="266">
        <f ca="1">IFERROR(__xludf.DUMMYFUNCTION("IMPORTRANGE(""https://docs.google.com/spreadsheets/d/11923uPwbBZFjjGgGUA6NLw09EwE0CqkOc4q9oUmW1yo/edit?usp=sharing"",""แม่ฮ่องสอน!J149"")"),13)</f>
        <v>13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IFERROR(__xludf.DUMMYFUNCTION("IMPORTRANGE(""https://docs.google.com/spreadsheets/d/11923uPwbBZFjjGgGUA6NLw09EwE0CqkOc4q9oUmW1yo/edit?usp=sharing"",""แม่ฮ่องสอน!J151"")"),0)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IFERROR(__xludf.DUMMYFUNCTION("IMPORTRANGE(""https://docs.google.com/spreadsheets/d/11923uPwbBZFjjGgGUA6NLw09EwE0CqkOc4q9oUmW1yo/edit?usp=sharing"",""แม่ฮ่องสอน!J152"")"),0)</f>
        <v>0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IFERROR(__xludf.DUMMYFUNCTION("IMPORTRANGE(""https://docs.google.com/spreadsheets/d/11923uPwbBZFjjGgGUA6NLw09EwE0CqkOc4q9oUmW1yo/edit?usp=sharing"",""แม่ฮ่องสอน!J153"")"),0)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IFERROR(__xludf.DUMMYFUNCTION("IMPORTRANGE(""https://docs.google.com/spreadsheets/d/11923uPwbBZFjjGgGUA6NLw09EwE0CqkOc4q9oUmW1yo/edit?usp=sharing"",""แม่ฮ่องสอน!J154"")"),0)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IFERROR(__xludf.DUMMYFUNCTION("IMPORTRANGE(""https://docs.google.com/spreadsheets/d/11923uPwbBZFjjGgGUA6NLw09EwE0CqkOc4q9oUmW1yo/edit?usp=sharing"",""แม่ฮ่องสอน!I155"")"),13)</f>
        <v>13</v>
      </c>
      <c r="J235" s="188">
        <f ca="1">IFERROR(__xludf.DUMMYFUNCTION("IMPORTRANGE(""https://docs.google.com/spreadsheets/d/11923uPwbBZFjjGgGUA6NLw09EwE0CqkOc4q9oUmW1yo/edit?usp=sharing"",""แม่ฮ่องสอน!J155"")"),13)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IFERROR(__xludf.DUMMYFUNCTION("IMPORTRANGE(""https://docs.google.com/spreadsheets/d/11923uPwbBZFjjGgGUA6NLw09EwE0CqkOc4q9oUmW1yo/edit?usp=sharing"",""แม่ฮ่องสอน!J156"")"),1)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IFERROR(__xludf.DUMMYFUNCTION("IMPORTRANGE(""https://docs.google.com/spreadsheets/d/11923uPwbBZFjjGgGUA6NLw09EwE0CqkOc4q9oUmW1yo/edit?usp=sharing"",""แม่ฮ่องสอน!J157"")"),1)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IFERROR(__xludf.DUMMYFUNCTION("IMPORTRANGE(""https://docs.google.com/spreadsheets/d/11923uPwbBZFjjGgGUA6NLw09EwE0CqkOc4q9oUmW1yo/edit?usp=sharing"",""แม่ฮ่องสอน!I158"")"),0)</f>
        <v>0</v>
      </c>
      <c r="J238" s="266">
        <f ca="1">IFERROR(__xludf.DUMMYFUNCTION("IMPORTRANGE(""https://docs.google.com/spreadsheets/d/11923uPwbBZFjjGgGUA6NLw09EwE0CqkOc4q9oUmW1yo/edit?usp=sharing"",""แม่ฮ่องสอน!J158"")"),0)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IFERROR(__xludf.DUMMYFUNCTION("IMPORTRANGE(""https://docs.google.com/spreadsheets/d/11923uPwbBZFjjGgGUA6NLw09EwE0CqkOc4q9oUmW1yo/edit?usp=sharing"",""แม่ฮ่องสอน!J159"")"),"")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IFERROR(__xludf.DUMMYFUNCTION("IMPORTRANGE(""https://docs.google.com/spreadsheets/d/11923uPwbBZFjjGgGUA6NLw09EwE0CqkOc4q9oUmW1yo/edit?usp=sharing"",""แม่ฮ่องสอน!J161"")"),0)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IFERROR(__xludf.DUMMYFUNCTION("IMPORTRANGE(""https://docs.google.com/spreadsheets/d/11923uPwbBZFjjGgGUA6NLw09EwE0CqkOc4q9oUmW1yo/edit?usp=sharing"",""แม่ฮ่องสอน!J162"")"),0)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IFERROR(__xludf.DUMMYFUNCTION("IMPORTRANGE(""https://docs.google.com/spreadsheets/d/11923uPwbBZFjjGgGUA6NLw09EwE0CqkOc4q9oUmW1yo/edit?usp=sharing"",""แม่ฮ่องสอน!J163"")"),0)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IFERROR(__xludf.DUMMYFUNCTION("IMPORTRANGE(""https://docs.google.com/spreadsheets/d/11923uPwbBZFjjGgGUA6NLw09EwE0CqkOc4q9oUmW1yo/edit?usp=sharing"",""แม่ฮ่องสอน!I164"")"),0)</f>
        <v>0</v>
      </c>
      <c r="J244" s="187">
        <f ca="1">IFERROR(__xludf.DUMMYFUNCTION("IMPORTRANGE(""https://docs.google.com/spreadsheets/d/11923uPwbBZFjjGgGUA6NLw09EwE0CqkOc4q9oUmW1yo/edit?usp=sharing"",""แม่ฮ่องสอน!J164"")"),0)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IFERROR(__xludf.DUMMYFUNCTION("IMPORTRANGE(""https://docs.google.com/spreadsheets/d/11923uPwbBZFjjGgGUA6NLw09EwE0CqkOc4q9oUmW1yo/edit?usp=sharing"",""แม่ฮ่องสอน!J165"")"),0)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IFERROR(__xludf.DUMMYFUNCTION("IMPORTRANGE(""https://docs.google.com/spreadsheets/d/11923uPwbBZFjjGgGUA6NLw09EwE0CqkOc4q9oUmW1yo/edit?usp=sharing"",""แม่ฮ่องสอน!J166"")"),0)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IFERROR(__xludf.DUMMYFUNCTION("IMPORTRANGE(""https://docs.google.com/spreadsheets/d/11923uPwbBZFjjGgGUA6NLw09EwE0CqkOc4q9oUmW1yo/edit?usp=sharing"",""แม่ฮ่องสอน!I169"")"),0)</f>
        <v>0</v>
      </c>
      <c r="J249" s="314">
        <f ca="1">IFERROR(__xludf.DUMMYFUNCTION("IMPORTRANGE(""https://docs.google.com/spreadsheets/d/11923uPwbBZFjjGgGUA6NLw09EwE0CqkOc4q9oUmW1yo/edit?usp=sharing"",""แม่ฮ่องสอน!J169"")"),0)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IFERROR(__xludf.DUMMYFUNCTION("IMPORTRANGE(""https://docs.google.com/spreadsheets/d/1Yj_ptqi66GCucihVvJfMjLAmec39IyEx_6qawtMGysU/edit?usp=sharing"",""สบก!CB31"")"),0)</f>
        <v>0</v>
      </c>
      <c r="N254" s="168">
        <f ca="1">IFERROR(__xludf.DUMMYFUNCTION("IMPORTRANGE(""https://docs.google.com/spreadsheets/d/1Yj_ptqi66GCucihVvJfMjLAmec39IyEx_6qawtMGysU/edit?usp=sharing"",""สบก!CC31"")"),0)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IFERROR(__xludf.DUMMYFUNCTION("IMPORTRANGE(""https://docs.google.com/spreadsheets/d/1Yj_ptqi66GCucihVvJfMjLAmec39IyEx_6qawtMGysU/edit?usp=sharing"",""สบก!BX31"")"),0)</f>
        <v>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IFERROR(__xludf.DUMMYFUNCTION("IMPORTRANGE(""https://docs.google.com/spreadsheets/d/1Yj_ptqi66GCucihVvJfMjLAmec39IyEx_6qawtMGysU/edit?usp=sharing"",""สบก!BY31"")"),0)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IFERROR(__xludf.DUMMYFUNCTION("IMPORTRANGE(""https://docs.google.com/spreadsheets/d/1Yj_ptqi66GCucihVvJfMjLAmec39IyEx_6qawtMGysU/edit?usp=sharing"",""สบก!BZ31"")"),0)</f>
        <v>0</v>
      </c>
      <c r="M258" s="49"/>
      <c r="N258" s="49">
        <f ca="1">IFERROR(__xludf.DUMMYFUNCTION("IMPORTRANGE(""https://docs.google.com/spreadsheets/d/1Yj_ptqi66GCucihVvJfMjLAmec39IyEx_6qawtMGysU/edit?usp=sharing"",""สบก!CD31"")"),0)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IFERROR(__xludf.DUMMYFUNCTION("IMPORTRANGE(""https://docs.google.com/spreadsheets/d/11923uPwbBZFjjGgGUA6NLw09EwE0CqkOc4q9oUmW1yo/edit?usp=sharing"",""แม่ฮ่องสอน!J175"")"),0)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IFERROR(__xludf.DUMMYFUNCTION("IMPORTRANGE(""https://docs.google.com/spreadsheets/d/11923uPwbBZFjjGgGUA6NLw09EwE0CqkOc4q9oUmW1yo/edit?usp=sharing"",""แม่ฮ่องสอน!J176"")"),0)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IFERROR(__xludf.DUMMYFUNCTION("IMPORTRANGE(""https://docs.google.com/spreadsheets/d/11923uPwbBZFjjGgGUA6NLw09EwE0CqkOc4q9oUmW1yo/edit?usp=sharing"",""แม่ฮ่องสอน!J177"")"),0)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IFERROR(__xludf.DUMMYFUNCTION("IMPORTRANGE(""https://docs.google.com/spreadsheets/d/11923uPwbBZFjjGgGUA6NLw09EwE0CqkOc4q9oUmW1yo/edit?usp=sharing"",""แม่ฮ่องสอน!J178"")"),0)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IFERROR(__xludf.DUMMYFUNCTION("IMPORTRANGE(""https://docs.google.com/spreadsheets/d/11923uPwbBZFjjGgGUA6NLw09EwE0CqkOc4q9oUmW1yo/edit?usp=sharing"",""แม่ฮ่องสอน!I179"")"),0)</f>
        <v>0</v>
      </c>
      <c r="J264" s="188">
        <f ca="1">IFERROR(__xludf.DUMMYFUNCTION("IMPORTRANGE(""https://docs.google.com/spreadsheets/d/11923uPwbBZFjjGgGUA6NLw09EwE0CqkOc4q9oUmW1yo/edit?usp=sharing"",""แม่ฮ่องสอน!J179"")"),0)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IFERROR(__xludf.DUMMYFUNCTION("IMPORTRANGE(""https://docs.google.com/spreadsheets/d/11923uPwbBZFjjGgGUA6NLw09EwE0CqkOc4q9oUmW1yo/edit?usp=sharing"",""แม่ฮ่องสอน!I180"")"),0)</f>
        <v>0</v>
      </c>
      <c r="J265" s="188">
        <f ca="1">IFERROR(__xludf.DUMMYFUNCTION("IMPORTRANGE(""https://docs.google.com/spreadsheets/d/11923uPwbBZFjjGgGUA6NLw09EwE0CqkOc4q9oUmW1yo/edit?usp=sharing"",""แม่ฮ่องสอน!J180"")"),0)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IFERROR(__xludf.DUMMYFUNCTION("IMPORTRANGE(""https://docs.google.com/spreadsheets/d/11923uPwbBZFjjGgGUA6NLw09EwE0CqkOc4q9oUmW1yo/edit?usp=sharing"",""แม่ฮ่องสอน!I181"")"),0)</f>
        <v>0</v>
      </c>
      <c r="J266" s="188">
        <f ca="1">IFERROR(__xludf.DUMMYFUNCTION("IMPORTRANGE(""https://docs.google.com/spreadsheets/d/11923uPwbBZFjjGgGUA6NLw09EwE0CqkOc4q9oUmW1yo/edit?usp=sharing"",""แม่ฮ่องสอน!J181"")"),0)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IFERROR(__xludf.DUMMYFUNCTION("IMPORTRANGE(""https://docs.google.com/spreadsheets/d/11923uPwbBZFjjGgGUA6NLw09EwE0CqkOc4q9oUmW1yo/edit?usp=sharing"",""แม่ฮ่องสอน!I182"")"),0)</f>
        <v>0</v>
      </c>
      <c r="J267" s="188">
        <f ca="1">IFERROR(__xludf.DUMMYFUNCTION("IMPORTRANGE(""https://docs.google.com/spreadsheets/d/11923uPwbBZFjjGgGUA6NLw09EwE0CqkOc4q9oUmW1yo/edit?usp=sharing"",""แม่ฮ่องสอน!J182"")"),0)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IFERROR(__xludf.DUMMYFUNCTION("IMPORTRANGE(""https://docs.google.com/spreadsheets/d/11923uPwbBZFjjGgGUA6NLw09EwE0CqkOc4q9oUmW1yo/edit?usp=sharing"",""แม่ฮ่องสอน!J183"")"),0)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IFERROR(__xludf.DUMMYFUNCTION("IMPORTRANGE(""https://docs.google.com/spreadsheets/d/11923uPwbBZFjjGgGUA6NLw09EwE0CqkOc4q9oUmW1yo/edit?usp=sharing"",""แม่ฮ่องสอน!J184"")"),0)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IFERROR(__xludf.DUMMYFUNCTION("IMPORTRANGE(""https://docs.google.com/spreadsheets/d/11923uPwbBZFjjGgGUA6NLw09EwE0CqkOc4q9oUmW1yo/edit?usp=sharing"",""แม่ฮ่องสอน!I185"")"),15)</f>
        <v>15</v>
      </c>
      <c r="J270" s="314">
        <f ca="1">IFERROR(__xludf.DUMMYFUNCTION("IMPORTRANGE(""https://docs.google.com/spreadsheets/d/11923uPwbBZFjjGgGUA6NLw09EwE0CqkOc4q9oUmW1yo/edit?usp=sharing"",""แม่ฮ่องสอน!J185"")"),15)</f>
        <v>15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187200</v>
      </c>
      <c r="M271" s="151">
        <f t="shared" ca="1" si="83"/>
        <v>98250</v>
      </c>
      <c r="N271" s="151">
        <f t="shared" ca="1" si="83"/>
        <v>80985</v>
      </c>
      <c r="O271" s="150">
        <f t="shared" ref="O271:O273" ca="1" si="84">IF(L271&gt;0,N271*100/L271,0)</f>
        <v>43.261217948717949</v>
      </c>
      <c r="P271" s="150">
        <f t="shared" ref="P271:P273" ca="1" si="85">IF(M271&gt;0,N271*100/M271,0)</f>
        <v>82.427480916030532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187200</v>
      </c>
      <c r="M273" s="87">
        <f t="shared" ca="1" si="87"/>
        <v>98250</v>
      </c>
      <c r="N273" s="87">
        <f t="shared" ca="1" si="87"/>
        <v>80985</v>
      </c>
      <c r="O273" s="155">
        <f t="shared" ca="1" si="84"/>
        <v>43.261217948717949</v>
      </c>
      <c r="P273" s="155">
        <f t="shared" ca="1" si="85"/>
        <v>82.427480916030532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IFERROR(__xludf.DUMMYFUNCTION("IMPORTRANGE(""https://docs.google.com/spreadsheets/d/1Yj_ptqi66GCucihVvJfMjLAmec39IyEx_6qawtMGysU/edit?usp=sharing"",""สบก!CK31"")"),98250)</f>
        <v>98250</v>
      </c>
      <c r="N275" s="168">
        <f ca="1">IFERROR(__xludf.DUMMYFUNCTION("IMPORTRANGE(""https://docs.google.com/spreadsheets/d/1Yj_ptqi66GCucihVvJfMjLAmec39IyEx_6qawtMGysU/edit?usp=sharing"",""สบก!CL31"")"),80985)</f>
        <v>80985</v>
      </c>
      <c r="O275" s="168">
        <f ca="1">IF(L275&gt;0,N275*100/L275,0)</f>
        <v>43.261217948717949</v>
      </c>
      <c r="P275" s="168">
        <f ca="1">IF(M275&gt;0,N275*100/M275,0)</f>
        <v>82.427480916030532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IFERROR(__xludf.DUMMYFUNCTION("IMPORTRANGE(""https://docs.google.com/spreadsheets/d/1Yj_ptqi66GCucihVvJfMjLAmec39IyEx_6qawtMGysU/edit?usp=sharing"",""สบก!CG31"")"),132000)</f>
        <v>132000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IFERROR(__xludf.DUMMYFUNCTION("IMPORTRANGE(""https://docs.google.com/spreadsheets/d/1Yj_ptqi66GCucihVvJfMjLAmec39IyEx_6qawtMGysU/edit?usp=sharing"",""สบก!CH31"")"),55200)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IFERROR(__xludf.DUMMYFUNCTION("IMPORTRANGE(""https://docs.google.com/spreadsheets/d/1Yj_ptqi66GCucihVvJfMjLAmec39IyEx_6qawtMGysU/edit?usp=sharing"",""สบก!CI31"")"),0)</f>
        <v>0</v>
      </c>
      <c r="M279" s="49"/>
      <c r="N279" s="49">
        <f ca="1">IFERROR(__xludf.DUMMYFUNCTION("IMPORTRANGE(""https://docs.google.com/spreadsheets/d/1Yj_ptqi66GCucihVvJfMjLAmec39IyEx_6qawtMGysU/edit?usp=sharing"",""สบก!CM31"")"),0)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IFERROR(__xludf.DUMMYFUNCTION("IMPORTRANGE(""https://docs.google.com/spreadsheets/d/11923uPwbBZFjjGgGUA6NLw09EwE0CqkOc4q9oUmW1yo/edit?usp=sharing"",""แม่ฮ่องสอน!J191"")"),0)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IFERROR(__xludf.DUMMYFUNCTION("IMPORTRANGE(""https://docs.google.com/spreadsheets/d/11923uPwbBZFjjGgGUA6NLw09EwE0CqkOc4q9oUmW1yo/edit?usp=sharing"",""แม่ฮ่องสอน!J192"")"),1)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IFERROR(__xludf.DUMMYFUNCTION("IMPORTRANGE(""https://docs.google.com/spreadsheets/d/11923uPwbBZFjjGgGUA6NLw09EwE0CqkOc4q9oUmW1yo/edit?usp=sharing"",""แม่ฮ่องสอน!J193"")"),1)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IFERROR(__xludf.DUMMYFUNCTION("IMPORTRANGE(""https://docs.google.com/spreadsheets/d/11923uPwbBZFjjGgGUA6NLw09EwE0CqkOc4q9oUmW1yo/edit?usp=sharing"",""แม่ฮ่องสอน!J194"")"),1)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IFERROR(__xludf.DUMMYFUNCTION("IMPORTRANGE(""https://docs.google.com/spreadsheets/d/11923uPwbBZFjjGgGUA6NLw09EwE0CqkOc4q9oUmW1yo/edit?usp=sharing"",""แม่ฮ่องสอน!I195"")"),15)</f>
        <v>15</v>
      </c>
      <c r="J285" s="188">
        <f ca="1">IFERROR(__xludf.DUMMYFUNCTION("IMPORTRANGE(""https://docs.google.com/spreadsheets/d/11923uPwbBZFjjGgGUA6NLw09EwE0CqkOc4q9oUmW1yo/edit?usp=sharing"",""แม่ฮ่องสอน!J195"")"),15)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IFERROR(__xludf.DUMMYFUNCTION("IMPORTRANGE(""https://docs.google.com/spreadsheets/d/11923uPwbBZFjjGgGUA6NLw09EwE0CqkOc4q9oUmW1yo/edit?usp=sharing"",""แม่ฮ่องสอน!J196"")"),0)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IFERROR(__xludf.DUMMYFUNCTION("IMPORTRANGE(""https://docs.google.com/spreadsheets/d/11923uPwbBZFjjGgGUA6NLw09EwE0CqkOc4q9oUmW1yo/edit?usp=sharing"",""แม่ฮ่องสอน!J197"")"),0)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IFERROR(__xludf.DUMMYFUNCTION("IMPORTRANGE(""https://docs.google.com/spreadsheets/d/11923uPwbBZFjjGgGUA6NLw09EwE0CqkOc4q9oUmW1yo/edit?usp=sharing"",""แม่ฮ่องสอน!I199"")"),0)</f>
        <v>0</v>
      </c>
      <c r="J289" s="314">
        <f ca="1">IFERROR(__xludf.DUMMYFUNCTION("IMPORTRANGE(""https://docs.google.com/spreadsheets/d/11923uPwbBZFjjGgGUA6NLw09EwE0CqkOc4q9oUmW1yo/edit?usp=sharing"",""แม่ฮ่องสอน!J199"")"),0)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IFERROR(__xludf.DUMMYFUNCTION("IMPORTRANGE(""https://docs.google.com/spreadsheets/d/1Yj_ptqi66GCucihVvJfMjLAmec39IyEx_6qawtMGysU/edit?usp=sharing"",""สบก!CT31"")"),0)</f>
        <v>0</v>
      </c>
      <c r="N294" s="168">
        <f ca="1">IFERROR(__xludf.DUMMYFUNCTION("IMPORTRANGE(""https://docs.google.com/spreadsheets/d/1Yj_ptqi66GCucihVvJfMjLAmec39IyEx_6qawtMGysU/edit?usp=sharing"",""สบก!CU31"")"),0)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IFERROR(__xludf.DUMMYFUNCTION("IMPORTRANGE(""https://docs.google.com/spreadsheets/d/1Yj_ptqi66GCucihVvJfMjLAmec39IyEx_6qawtMGysU/edit?usp=sharing"",""สบก!CP31"")"),0)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IFERROR(__xludf.DUMMYFUNCTION("IMPORTRANGE(""https://docs.google.com/spreadsheets/d/1Yj_ptqi66GCucihVvJfMjLAmec39IyEx_6qawtMGysU/edit?usp=sharing"",""สบก!CQ31"")"),0)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IFERROR(__xludf.DUMMYFUNCTION("IMPORTRANGE(""https://docs.google.com/spreadsheets/d/1Yj_ptqi66GCucihVvJfMjLAmec39IyEx_6qawtMGysU/edit?usp=sharing"",""สบก!CR31"")"),0)</f>
        <v>0</v>
      </c>
      <c r="M298" s="49"/>
      <c r="N298" s="49">
        <f ca="1">IFERROR(__xludf.DUMMYFUNCTION("IMPORTRANGE(""https://docs.google.com/spreadsheets/d/1Yj_ptqi66GCucihVvJfMjLAmec39IyEx_6qawtMGysU/edit?usp=sharing"",""สบก!CV31"")"),0)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IFERROR(__xludf.DUMMYFUNCTION("IMPORTRANGE(""https://docs.google.com/spreadsheets/d/11923uPwbBZFjjGgGUA6NLw09EwE0CqkOc4q9oUmW1yo/edit?usp=sharing"",""แม่ฮ่องสอน!J205"")"),0)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IFERROR(__xludf.DUMMYFUNCTION("IMPORTRANGE(""https://docs.google.com/spreadsheets/d/11923uPwbBZFjjGgGUA6NLw09EwE0CqkOc4q9oUmW1yo/edit?usp=sharing"",""แม่ฮ่องสอน!J206"")"),0)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IFERROR(__xludf.DUMMYFUNCTION("IMPORTRANGE(""https://docs.google.com/spreadsheets/d/11923uPwbBZFjjGgGUA6NLw09EwE0CqkOc4q9oUmW1yo/edit?usp=sharing"",""แม่ฮ่องสอน!J207"")"),0)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IFERROR(__xludf.DUMMYFUNCTION("IMPORTRANGE(""https://docs.google.com/spreadsheets/d/11923uPwbBZFjjGgGUA6NLw09EwE0CqkOc4q9oUmW1yo/edit?usp=sharing"",""แม่ฮ่องสอน!J208"")"),0)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IFERROR(__xludf.DUMMYFUNCTION("IMPORTRANGE(""https://docs.google.com/spreadsheets/d/11923uPwbBZFjjGgGUA6NLw09EwE0CqkOc4q9oUmW1yo/edit?usp=sharing"",""แม่ฮ่องสอน!I209"")"),0)</f>
        <v>0</v>
      </c>
      <c r="J304" s="203">
        <f ca="1">IFERROR(__xludf.DUMMYFUNCTION("IMPORTRANGE(""https://docs.google.com/spreadsheets/d/11923uPwbBZFjjGgGUA6NLw09EwE0CqkOc4q9oUmW1yo/edit?usp=sharing"",""แม่ฮ่องสอน!J209"")"),0)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IFERROR(__xludf.DUMMYFUNCTION("IMPORTRANGE(""https://docs.google.com/spreadsheets/d/11923uPwbBZFjjGgGUA6NLw09EwE0CqkOc4q9oUmW1yo/edit?usp=sharing"",""แม่ฮ่องสอน!I211"")"),0)</f>
        <v>0</v>
      </c>
      <c r="J306" s="203">
        <f ca="1">IFERROR(__xludf.DUMMYFUNCTION("IMPORTRANGE(""https://docs.google.com/spreadsheets/d/11923uPwbBZFjjGgGUA6NLw09EwE0CqkOc4q9oUmW1yo/edit?usp=sharing"",""แม่ฮ่องสอน!J211"")"),0)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IFERROR(__xludf.DUMMYFUNCTION("IMPORTRANGE(""https://docs.google.com/spreadsheets/d/11923uPwbBZFjjGgGUA6NLw09EwE0CqkOc4q9oUmW1yo/edit?usp=sharing"",""แม่ฮ่องสอน!J212"")"),0)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IFERROR(__xludf.DUMMYFUNCTION("IMPORTRANGE(""https://docs.google.com/spreadsheets/d/11923uPwbBZFjjGgGUA6NLw09EwE0CqkOc4q9oUmW1yo/edit?usp=sharing"",""แม่ฮ่องสอน!J213"")"),0)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IFERROR(__xludf.DUMMYFUNCTION("IMPORTRANGE(""https://docs.google.com/spreadsheets/d/11923uPwbBZFjjGgGUA6NLw09EwE0CqkOc4q9oUmW1yo/edit?usp=sharing"",""แม่ฮ่องสอน!I214"")"),0)</f>
        <v>0</v>
      </c>
      <c r="J309" s="331">
        <f ca="1">IFERROR(__xludf.DUMMYFUNCTION("IMPORTRANGE(""https://docs.google.com/spreadsheets/d/11923uPwbBZFjjGgGUA6NLw09EwE0CqkOc4q9oUmW1yo/edit?usp=sharing"",""แม่ฮ่องสอน!J214"")"),0)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IFERROR(__xludf.DUMMYFUNCTION("IMPORTRANGE(""https://docs.google.com/spreadsheets/d/1Yj_ptqi66GCucihVvJfMjLAmec39IyEx_6qawtMGysU/edit?usp=sharing"",""สบก!DC31"")"),0)</f>
        <v>0</v>
      </c>
      <c r="N314" s="168">
        <f ca="1">IFERROR(__xludf.DUMMYFUNCTION("IMPORTRANGE(""https://docs.google.com/spreadsheets/d/1Yj_ptqi66GCucihVvJfMjLAmec39IyEx_6qawtMGysU/edit?usp=sharing"",""สบก!DD31"")"),0)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IFERROR(__xludf.DUMMYFUNCTION("IMPORTRANGE(""https://docs.google.com/spreadsheets/d/1Yj_ptqi66GCucihVvJfMjLAmec39IyEx_6qawtMGysU/edit?usp=sharing"",""สบก!CY31"")"),0)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IFERROR(__xludf.DUMMYFUNCTION("IMPORTRANGE(""https://docs.google.com/spreadsheets/d/1Yj_ptqi66GCucihVvJfMjLAmec39IyEx_6qawtMGysU/edit?usp=sharing"",""สบก!CZ31"")"),0)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IFERROR(__xludf.DUMMYFUNCTION("IMPORTRANGE(""https://docs.google.com/spreadsheets/d/1Yj_ptqi66GCucihVvJfMjLAmec39IyEx_6qawtMGysU/edit?usp=sharing"",""สบก!DA31"")"),0)</f>
        <v>0</v>
      </c>
      <c r="M318" s="49"/>
      <c r="N318" s="49">
        <f ca="1">IFERROR(__xludf.DUMMYFUNCTION("IMPORTRANGE(""https://docs.google.com/spreadsheets/d/1Yj_ptqi66GCucihVvJfMjLAmec39IyEx_6qawtMGysU/edit?usp=sharing"",""สบก!DE31"")"),0)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IFERROR(__xludf.DUMMYFUNCTION("IMPORTRANGE(""https://docs.google.com/spreadsheets/d/11923uPwbBZFjjGgGUA6NLw09EwE0CqkOc4q9oUmW1yo/edit?usp=sharing"",""แม่ฮ่องสอน!J220"")"),0)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IFERROR(__xludf.DUMMYFUNCTION("IMPORTRANGE(""https://docs.google.com/spreadsheets/d/11923uPwbBZFjjGgGUA6NLw09EwE0CqkOc4q9oUmW1yo/edit?usp=sharing"",""แม่ฮ่องสอน!J221"")"),0)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IFERROR(__xludf.DUMMYFUNCTION("IMPORTRANGE(""https://docs.google.com/spreadsheets/d/11923uPwbBZFjjGgGUA6NLw09EwE0CqkOc4q9oUmW1yo/edit?usp=sharing"",""แม่ฮ่องสอน!J222"")"),0)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IFERROR(__xludf.DUMMYFUNCTION("IMPORTRANGE(""https://docs.google.com/spreadsheets/d/11923uPwbBZFjjGgGUA6NLw09EwE0CqkOc4q9oUmW1yo/edit?usp=sharing"",""แม่ฮ่องสอน!J223"")"),0)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IFERROR(__xludf.DUMMYFUNCTION("IMPORTRANGE(""https://docs.google.com/spreadsheets/d/11923uPwbBZFjjGgGUA6NLw09EwE0CqkOc4q9oUmW1yo/edit?usp=sharing"",""แม่ฮ่องสอน!I224"")"),0)</f>
        <v>0</v>
      </c>
      <c r="J324" s="203">
        <f ca="1">IFERROR(__xludf.DUMMYFUNCTION("IMPORTRANGE(""https://docs.google.com/spreadsheets/d/11923uPwbBZFjjGgGUA6NLw09EwE0CqkOc4q9oUmW1yo/edit?usp=sharing"",""แม่ฮ่องสอน!J224"")"),0)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IFERROR(__xludf.DUMMYFUNCTION("IMPORTRANGE(""https://docs.google.com/spreadsheets/d/11923uPwbBZFjjGgGUA6NLw09EwE0CqkOc4q9oUmW1yo/edit?usp=sharing"",""แม่ฮ่องสอน!J225"")"),0)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IFERROR(__xludf.DUMMYFUNCTION("IMPORTRANGE(""https://docs.google.com/spreadsheets/d/11923uPwbBZFjjGgGUA6NLw09EwE0CqkOc4q9oUmW1yo/edit?usp=sharing"",""แม่ฮ่องสอน!J226"")"),0)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IFERROR(__xludf.DUMMYFUNCTION("IMPORTRANGE(""https://docs.google.com/spreadsheets/d/11923uPwbBZFjjGgGUA6NLw09EwE0CqkOc4q9oUmW1yo/edit?usp=sharing"",""แม่ฮ่องสอน!I228"")"),70)</f>
        <v>70</v>
      </c>
      <c r="J328" s="337">
        <f ca="1">IFERROR(__xludf.DUMMYFUNCTION("IMPORTRANGE(""https://docs.google.com/spreadsheets/d/11923uPwbBZFjjGgGUA6NLw09EwE0CqkOc4q9oUmW1yo/edit?usp=sharing"",""แม่ฮ่องสอน!J228"")"),60)</f>
        <v>60</v>
      </c>
      <c r="K328" s="315">
        <f ca="1">IF(I328&gt;0,J328*100/I328,0)</f>
        <v>85.714285714285708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873740</v>
      </c>
      <c r="M329" s="151">
        <f t="shared" ca="1" si="98"/>
        <v>465120</v>
      </c>
      <c r="N329" s="151">
        <f t="shared" ca="1" si="98"/>
        <v>422701</v>
      </c>
      <c r="O329" s="150">
        <f t="shared" ref="O329:O331" ca="1" si="99">IF(L329&gt;0,N329*100/L329,0)</f>
        <v>48.378350539061962</v>
      </c>
      <c r="P329" s="150">
        <f t="shared" ref="P329:P331" ca="1" si="100">IF(M329&gt;0,N329*100/M329,0)</f>
        <v>90.879987960096315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873740</v>
      </c>
      <c r="M331" s="87">
        <f t="shared" ca="1" si="102"/>
        <v>465120</v>
      </c>
      <c r="N331" s="87">
        <f t="shared" ca="1" si="102"/>
        <v>422701</v>
      </c>
      <c r="O331" s="155">
        <f t="shared" ca="1" si="99"/>
        <v>48.378350539061962</v>
      </c>
      <c r="P331" s="155">
        <f t="shared" ca="1" si="100"/>
        <v>90.879987960096315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825940</v>
      </c>
      <c r="M333" s="167">
        <f ca="1">IFERROR(__xludf.DUMMYFUNCTION("IMPORTRANGE(""https://docs.google.com/spreadsheets/d/1Yj_ptqi66GCucihVvJfMjLAmec39IyEx_6qawtMGysU/edit?usp=sharing"",""สบก!DL31"")"),417320)</f>
        <v>417320</v>
      </c>
      <c r="N333" s="168">
        <f ca="1">IFERROR(__xludf.DUMMYFUNCTION("IMPORTRANGE(""https://docs.google.com/spreadsheets/d/1Yj_ptqi66GCucihVvJfMjLAmec39IyEx_6qawtMGysU/edit?usp=sharing"",""สบก!DM31"")"),374901)</f>
        <v>374901</v>
      </c>
      <c r="O333" s="168">
        <f ca="1">IF(L333&gt;0,N333*100/L333,0)</f>
        <v>45.390827420878033</v>
      </c>
      <c r="P333" s="168">
        <f ca="1">IF(M333&gt;0,N333*100/M333,0)</f>
        <v>89.835378127096718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IFERROR(__xludf.DUMMYFUNCTION("IMPORTRANGE(""https://docs.google.com/spreadsheets/d/1Yj_ptqi66GCucihVvJfMjLAmec39IyEx_6qawtMGysU/edit?usp=sharing"",""สบก!DH31"")"),574800)</f>
        <v>574800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IFERROR(__xludf.DUMMYFUNCTION("IMPORTRANGE(""https://docs.google.com/spreadsheets/d/1Yj_ptqi66GCucihVvJfMjLAmec39IyEx_6qawtMGysU/edit?usp=sharing"",""สบก!DI31"")"),251140)</f>
        <v>251140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IFERROR(__xludf.DUMMYFUNCTION("IMPORTRANGE(""https://docs.google.com/spreadsheets/d/1Yj_ptqi66GCucihVvJfMjLAmec39IyEx_6qawtMGysU/edit?usp=sharing"",""สบก!DJ31"")"),47800)</f>
        <v>47800</v>
      </c>
      <c r="M337" s="49">
        <f ca="1">L337</f>
        <v>47800</v>
      </c>
      <c r="N337" s="49">
        <f ca="1">IFERROR(__xludf.DUMMYFUNCTION("IMPORTRANGE(""https://docs.google.com/spreadsheets/d/1Yj_ptqi66GCucihVvJfMjLAmec39IyEx_6qawtMGysU/edit?usp=sharing"",""สบก!DN31"")"),47800)</f>
        <v>47800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IFERROR(__xludf.DUMMYFUNCTION("IMPORTRANGE(""https://docs.google.com/spreadsheets/d/11923uPwbBZFjjGgGUA6NLw09EwE0CqkOc4q9oUmW1yo/edit?usp=sharing"",""แม่ฮ่องสอน!I234"")"),0)</f>
        <v>0</v>
      </c>
      <c r="J339" s="187">
        <f ca="1">IFERROR(__xludf.DUMMYFUNCTION("IMPORTRANGE(""https://docs.google.com/spreadsheets/d/11923uPwbBZFjjGgGUA6NLw09EwE0CqkOc4q9oUmW1yo/edit?usp=sharing"",""แม่ฮ่องสอน!J234"")"),30)</f>
        <v>30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IFERROR(__xludf.DUMMYFUNCTION("IMPORTRANGE(""https://docs.google.com/spreadsheets/d/11923uPwbBZFjjGgGUA6NLw09EwE0CqkOc4q9oUmW1yo/edit?usp=sharing"",""แม่ฮ่องสอน!I235"")"),210)</f>
        <v>210</v>
      </c>
      <c r="J340" s="187">
        <f ca="1">IFERROR(__xludf.DUMMYFUNCTION("IMPORTRANGE(""https://docs.google.com/spreadsheets/d/11923uPwbBZFjjGgGUA6NLw09EwE0CqkOc4q9oUmW1yo/edit?usp=sharing"",""แม่ฮ่องสอน!J235"")"),58.8099999999999)</f>
        <v>58.809999999999903</v>
      </c>
      <c r="K340" s="340">
        <f t="shared" ca="1" si="103"/>
        <v>28.004761904761857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IFERROR(__xludf.DUMMYFUNCTION("IMPORTRANGE(""https://docs.google.com/spreadsheets/d/11923uPwbBZFjjGgGUA6NLw09EwE0CqkOc4q9oUmW1yo/edit?usp=sharing"",""แม่ฮ่องสอน!I236"")"),70)</f>
        <v>70</v>
      </c>
      <c r="J341" s="187">
        <f ca="1">IFERROR(__xludf.DUMMYFUNCTION("IMPORTRANGE(""https://docs.google.com/spreadsheets/d/11923uPwbBZFjjGgGUA6NLw09EwE0CqkOc4q9oUmW1yo/edit?usp=sharing"",""แม่ฮ่องสอน!J236"")"),63)</f>
        <v>63</v>
      </c>
      <c r="K341" s="340">
        <f t="shared" ca="1" si="103"/>
        <v>90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IFERROR(__xludf.DUMMYFUNCTION("IMPORTRANGE(""https://docs.google.com/spreadsheets/d/11923uPwbBZFjjGgGUA6NLw09EwE0CqkOc4q9oUmW1yo/edit?usp=sharing"",""แม่ฮ่องสอน!I237"")"),0)</f>
        <v>0</v>
      </c>
      <c r="J342" s="187">
        <f ca="1">IFERROR(__xludf.DUMMYFUNCTION("IMPORTRANGE(""https://docs.google.com/spreadsheets/d/11923uPwbBZFjjGgGUA6NLw09EwE0CqkOc4q9oUmW1yo/edit?usp=sharing"",""แม่ฮ่องสอน!J237"")"),197.36)</f>
        <v>197.36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IFERROR(__xludf.DUMMYFUNCTION("IMPORTRANGE(""https://docs.google.com/spreadsheets/d/11923uPwbBZFjjGgGUA6NLw09EwE0CqkOc4q9oUmW1yo/edit?usp=sharing"",""แม่ฮ่องสอน!I238"")"),70)</f>
        <v>70</v>
      </c>
      <c r="J343" s="187">
        <f ca="1">IFERROR(__xludf.DUMMYFUNCTION("IMPORTRANGE(""https://docs.google.com/spreadsheets/d/11923uPwbBZFjjGgGUA6NLw09EwE0CqkOc4q9oUmW1yo/edit?usp=sharing"",""แม่ฮ่องสอน!J238"")"),1)</f>
        <v>1</v>
      </c>
      <c r="K343" s="340">
        <f t="shared" ca="1" si="103"/>
        <v>1.4285714285714286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IFERROR(__xludf.DUMMYFUNCTION("IMPORTRANGE(""https://docs.google.com/spreadsheets/d/11923uPwbBZFjjGgGUA6NLw09EwE0CqkOc4q9oUmW1yo/edit?usp=sharing"",""แม่ฮ่องสอน!I239"")"),0)</f>
        <v>0</v>
      </c>
      <c r="J344" s="187">
        <f ca="1">IFERROR(__xludf.DUMMYFUNCTION("IMPORTRANGE(""https://docs.google.com/spreadsheets/d/11923uPwbBZFjjGgGUA6NLw09EwE0CqkOc4q9oUmW1yo/edit?usp=sharing"",""แม่ฮ่องสอน!J239"")"),28.14)</f>
        <v>28.14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IFERROR(__xludf.DUMMYFUNCTION("IMPORTRANGE(""https://docs.google.com/spreadsheets/d/11923uPwbBZFjjGgGUA6NLw09EwE0CqkOc4q9oUmW1yo/edit?usp=sharing"",""แม่ฮ่องสอน!I240"")"),70)</f>
        <v>70</v>
      </c>
      <c r="J345" s="187">
        <f ca="1">IFERROR(__xludf.DUMMYFUNCTION("IMPORTRANGE(""https://docs.google.com/spreadsheets/d/11923uPwbBZFjjGgGUA6NLw09EwE0CqkOc4q9oUmW1yo/edit?usp=sharing"",""แม่ฮ่องสอน!J240"")"),60)</f>
        <v>60</v>
      </c>
      <c r="K345" s="340">
        <f t="shared" ca="1" si="103"/>
        <v>85.714285714285708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IFERROR(__xludf.DUMMYFUNCTION("IMPORTRANGE(""https://docs.google.com/spreadsheets/d/11923uPwbBZFjjGgGUA6NLw09EwE0CqkOc4q9oUmW1yo/edit?usp=sharing"",""แม่ฮ่องสอน!I241"")"),0)</f>
        <v>0</v>
      </c>
      <c r="J346" s="187">
        <f ca="1">IFERROR(__xludf.DUMMYFUNCTION("IMPORTRANGE(""https://docs.google.com/spreadsheets/d/11923uPwbBZFjjGgGUA6NLw09EwE0CqkOc4q9oUmW1yo/edit?usp=sharing"",""แม่ฮ่องสอน!J241"")"),195.84)</f>
        <v>195.84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IFERROR(__xludf.DUMMYFUNCTION("IMPORTRANGE(""https://docs.google.com/spreadsheets/d/11923uPwbBZFjjGgGUA6NLw09EwE0CqkOc4q9oUmW1yo/edit?usp=sharing"",""แม่ฮ่องสอน!L242"")"),1082527)</f>
        <v>1082527</v>
      </c>
      <c r="M347" s="356"/>
      <c r="N347" s="356">
        <f ca="1">IFERROR(__xludf.DUMMYFUNCTION("IMPORTRANGE(""https://docs.google.com/spreadsheets/d/11923uPwbBZFjjGgGUA6NLw09EwE0CqkOc4q9oUmW1yo/edit?usp=sharing"",""แม่ฮ่องสอน!M242"")"),551877)</f>
        <v>551877</v>
      </c>
      <c r="O347" s="356">
        <f ca="1">+IF(L347&gt;0,N347*100/L347,0)</f>
        <v>50.98043743943569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IFERROR(__xludf.DUMMYFUNCTION("IMPORTRANGE(""https://docs.google.com/spreadsheets/d/11923uPwbBZFjjGgGUA6NLw09EwE0CqkOc4q9oUmW1yo/edit?usp=sharing"",""แม่ฮ่องสอน!I244"")"),110)</f>
        <v>110</v>
      </c>
      <c r="J349" s="369">
        <f ca="1">IFERROR(__xludf.DUMMYFUNCTION("IMPORTRANGE(""https://docs.google.com/spreadsheets/d/11923uPwbBZFjjGgGUA6NLw09EwE0CqkOc4q9oUmW1yo/edit?usp=sharing"",""แม่ฮ่องสอน!J244"")"),110)</f>
        <v>110</v>
      </c>
      <c r="K349" s="370">
        <f t="shared" ref="K349:K350" ca="1" si="104">IF(I349&gt;0,J349*100/I349,0)</f>
        <v>100</v>
      </c>
      <c r="L349" s="371">
        <f ca="1">IFERROR(__xludf.DUMMYFUNCTION("IMPORTRANGE(""https://docs.google.com/spreadsheets/d/11923uPwbBZFjjGgGUA6NLw09EwE0CqkOc4q9oUmW1yo/edit?usp=sharing"",""แม่ฮ่องสอน!L244"")"),353580)</f>
        <v>353580</v>
      </c>
      <c r="M349" s="371"/>
      <c r="N349" s="371">
        <f ca="1">IFERROR(__xludf.DUMMYFUNCTION("IMPORTRANGE(""https://docs.google.com/spreadsheets/d/11923uPwbBZFjjGgGUA6NLw09EwE0CqkOc4q9oUmW1yo/edit?usp=sharing"",""แม่ฮ่องสอน!M244"")"),216596)</f>
        <v>216596</v>
      </c>
      <c r="O349" s="371">
        <f ca="1">+IF(L349&gt;0,N349*100/L349,0)</f>
        <v>61.257989705300076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IFERROR(__xludf.DUMMYFUNCTION("IMPORTRANGE(""https://docs.google.com/spreadsheets/d/11923uPwbBZFjjGgGUA6NLw09EwE0CqkOc4q9oUmW1yo/edit?usp=sharing"",""แม่ฮ่องสอน!I245"")"),50)</f>
        <v>50</v>
      </c>
      <c r="J350" s="369">
        <f ca="1">IFERROR(__xludf.DUMMYFUNCTION("IMPORTRANGE(""https://docs.google.com/spreadsheets/d/11923uPwbBZFjjGgGUA6NLw09EwE0CqkOc4q9oUmW1yo/edit?usp=sharing"",""แม่ฮ่องสอน!J245"")"),50)</f>
        <v>50</v>
      </c>
      <c r="K350" s="370">
        <f t="shared" ca="1" si="104"/>
        <v>100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IFERROR(__xludf.DUMMYFUNCTION("IMPORTRANGE(""https://docs.google.com/spreadsheets/d/11923uPwbBZFjjGgGUA6NLw09EwE0CqkOc4q9oUmW1yo/edit?usp=sharing"",""แม่ฮ่องสอน!L246"")"),0)</f>
        <v>0</v>
      </c>
      <c r="M351" s="164"/>
      <c r="N351" s="164">
        <f ca="1">IFERROR(__xludf.DUMMYFUNCTION("IMPORTRANGE(""https://docs.google.com/spreadsheets/d/11923uPwbBZFjjGgGUA6NLw09EwE0CqkOc4q9oUmW1yo/edit?usp=sharing"",""แม่ฮ่องสอน!M246"")"),0)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IFERROR(__xludf.DUMMYFUNCTION("IMPORTRANGE(""https://docs.google.com/spreadsheets/d/11923uPwbBZFjjGgGUA6NLw09EwE0CqkOc4q9oUmW1yo/edit?usp=sharing"",""แม่ฮ่องสอน!L247"")"),353580)</f>
        <v>353580</v>
      </c>
      <c r="M352" s="165"/>
      <c r="N352" s="164">
        <f ca="1">IFERROR(__xludf.DUMMYFUNCTION("IMPORTRANGE(""https://docs.google.com/spreadsheets/d/11923uPwbBZFjjGgGUA6NLw09EwE0CqkOc4q9oUmW1yo/edit?usp=sharing"",""แม่ฮ่องสอน!M247"")"),216596)</f>
        <v>216596</v>
      </c>
      <c r="O352" s="165">
        <f t="shared" ca="1" si="105"/>
        <v>61.257989705300076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IFERROR(__xludf.DUMMYFUNCTION("IMPORTRANGE(""https://docs.google.com/spreadsheets/d/11923uPwbBZFjjGgGUA6NLw09EwE0CqkOc4q9oUmW1yo/edit?usp=sharing"",""แม่ฮ่องสอน!L248"")"),0)</f>
        <v>0</v>
      </c>
      <c r="M353" s="168"/>
      <c r="N353" s="168">
        <f ca="1">IFERROR(__xludf.DUMMYFUNCTION("IMPORTRANGE(""https://docs.google.com/spreadsheets/d/11923uPwbBZFjjGgGUA6NLw09EwE0CqkOc4q9oUmW1yo/edit?usp=sharing"",""แม่ฮ่องสอน!M248"")"),0)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IFERROR(__xludf.DUMMYFUNCTION("IMPORTRANGE(""https://docs.google.com/spreadsheets/d/11923uPwbBZFjjGgGUA6NLw09EwE0CqkOc4q9oUmW1yo/edit?usp=sharing"",""แม่ฮ่องสอน!L249"")"),353580)</f>
        <v>353580</v>
      </c>
      <c r="M354" s="168"/>
      <c r="N354" s="167">
        <f ca="1">IFERROR(__xludf.DUMMYFUNCTION("IMPORTRANGE(""https://docs.google.com/spreadsheets/d/11923uPwbBZFjjGgGUA6NLw09EwE0CqkOc4q9oUmW1yo/edit?usp=sharing"",""แม่ฮ่องสอน!M249"")"),216596)</f>
        <v>216596</v>
      </c>
      <c r="O354" s="168">
        <f t="shared" ca="1" si="105"/>
        <v>61.257989705300076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IFERROR(__xludf.DUMMYFUNCTION("IMPORTRANGE(""https://docs.google.com/spreadsheets/d/11923uPwbBZFjjGgGUA6NLw09EwE0CqkOc4q9oUmW1yo/edit?usp=sharing"",""แม่ฮ่องสอน!M250"")"),61800)</f>
        <v>61800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IFERROR(__xludf.DUMMYFUNCTION("IMPORTRANGE(""https://docs.google.com/spreadsheets/d/11923uPwbBZFjjGgGUA6NLw09EwE0CqkOc4q9oUmW1yo/edit?usp=sharing"",""แม่ฮ่องสอน!M251"")"),97200)</f>
        <v>97200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IFERROR(__xludf.DUMMYFUNCTION("IMPORTRANGE(""https://docs.google.com/spreadsheets/d/11923uPwbBZFjjGgGUA6NLw09EwE0CqkOc4q9oUmW1yo/edit?usp=sharing"",""แม่ฮ่องสอน!M252"")"),41516)</f>
        <v>41516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IFERROR(__xludf.DUMMYFUNCTION("IMPORTRANGE(""https://docs.google.com/spreadsheets/d/11923uPwbBZFjjGgGUA6NLw09EwE0CqkOc4q9oUmW1yo/edit?usp=sharing"",""แม่ฮ่องสอน!M253"")"),16080)</f>
        <v>16080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IFERROR(__xludf.DUMMYFUNCTION("IMPORTRANGE(""https://docs.google.com/spreadsheets/d/11923uPwbBZFjjGgGUA6NLw09EwE0CqkOc4q9oUmW1yo/edit?usp=sharing"",""แม่ฮ่องสอน!J255"")"),0)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IFERROR(__xludf.DUMMYFUNCTION("IMPORTRANGE(""https://docs.google.com/spreadsheets/d/11923uPwbBZFjjGgGUA6NLw09EwE0CqkOc4q9oUmW1yo/edit?usp=sharing"",""แม่ฮ่องสอน!J256"")"),1)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IFERROR(__xludf.DUMMYFUNCTION("IMPORTRANGE(""https://docs.google.com/spreadsheets/d/11923uPwbBZFjjGgGUA6NLw09EwE0CqkOc4q9oUmW1yo/edit?usp=sharing"",""แม่ฮ่องสอน!J257"")"),1)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IFERROR(__xludf.DUMMYFUNCTION("IMPORTRANGE(""https://docs.google.com/spreadsheets/d/11923uPwbBZFjjGgGUA6NLw09EwE0CqkOc4q9oUmW1yo/edit?usp=sharing"",""แม่ฮ่องสอน!J258"")"),1)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IFERROR(__xludf.DUMMYFUNCTION("IMPORTRANGE(""https://docs.google.com/spreadsheets/d/11923uPwbBZFjjGgGUA6NLw09EwE0CqkOc4q9oUmW1yo/edit?usp=sharing"",""แม่ฮ่องสอน!J166"")"),0)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IFERROR(__xludf.DUMMYFUNCTION("IMPORTRANGE(""https://docs.google.com/spreadsheets/d/11923uPwbBZFjjGgGUA6NLw09EwE0CqkOc4q9oUmW1yo/edit?usp=sharing"",""แม่ฮ่องสอน!J166"")"),0)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IFERROR(__xludf.DUMMYFUNCTION("IMPORTRANGE(""https://docs.google.com/spreadsheets/d/11923uPwbBZFjjGgGUA6NLw09EwE0CqkOc4q9oUmW1yo/edit?usp=sharing"",""แม่ฮ่องสอน!J166"")"),0)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IFERROR(__xludf.DUMMYFUNCTION("IMPORTRANGE(""https://docs.google.com/spreadsheets/d/11923uPwbBZFjjGgGUA6NLw09EwE0CqkOc4q9oUmW1yo/edit?usp=sharing"",""แม่ฮ่องสอน!J166"")"),0)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IFERROR(__xludf.DUMMYFUNCTION("IMPORTRANGE(""https://docs.google.com/spreadsheets/d/11923uPwbBZFjjGgGUA6NLw09EwE0CqkOc4q9oUmW1yo/edit?usp=sharing"",""แม่ฮ่องสอน!I263"")"),50)</f>
        <v>50</v>
      </c>
      <c r="J368" s="187">
        <f ca="1">IFERROR(__xludf.DUMMYFUNCTION("IMPORTRANGE(""https://docs.google.com/spreadsheets/d/11923uPwbBZFjjGgGUA6NLw09EwE0CqkOc4q9oUmW1yo/edit?usp=sharing"",""แม่ฮ่องสอน!J263"")"),50)</f>
        <v>50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IFERROR(__xludf.DUMMYFUNCTION("IMPORTRANGE(""https://docs.google.com/spreadsheets/d/11923uPwbBZFjjGgGUA6NLw09EwE0CqkOc4q9oUmW1yo/edit?usp=sharing"",""แม่ฮ่องสอน!I164"")"),0)</f>
        <v>0</v>
      </c>
      <c r="J369" s="203">
        <f ca="1">IFERROR(__xludf.DUMMYFUNCTION("IMPORTRANGE(""https://docs.google.com/spreadsheets/d/11923uPwbBZFjjGgGUA6NLw09EwE0CqkOc4q9oUmW1yo/edit?usp=sharing"",""แม่ฮ่องสอน!J164"")"),0)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IFERROR(__xludf.DUMMYFUNCTION("IMPORTRANGE(""https://docs.google.com/spreadsheets/d/11923uPwbBZFjjGgGUA6NLw09EwE0CqkOc4q9oUmW1yo/edit?usp=sharing"",""แม่ฮ่องสอน!I265"")"),50)</f>
        <v>50</v>
      </c>
      <c r="J370" s="203">
        <f ca="1">IFERROR(__xludf.DUMMYFUNCTION("IMPORTRANGE(""https://docs.google.com/spreadsheets/d/11923uPwbBZFjjGgGUA6NLw09EwE0CqkOc4q9oUmW1yo/edit?usp=sharing"",""แม่ฮ่องสอน!J265"")"),0)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IFERROR(__xludf.DUMMYFUNCTION("IMPORTRANGE(""https://docs.google.com/spreadsheets/d/11923uPwbBZFjjGgGUA6NLw09EwE0CqkOc4q9oUmW1yo/edit?usp=sharing"",""แม่ฮ่องสอน!I164"")"),0)</f>
        <v>0</v>
      </c>
      <c r="J371" s="188">
        <f ca="1">IFERROR(__xludf.DUMMYFUNCTION("IMPORTRANGE(""https://docs.google.com/spreadsheets/d/11923uPwbBZFjjGgGUA6NLw09EwE0CqkOc4q9oUmW1yo/edit?usp=sharing"",""แม่ฮ่องสอน!J164"")"),0)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IFERROR(__xludf.DUMMYFUNCTION("IMPORTRANGE(""https://docs.google.com/spreadsheets/d/11923uPwbBZFjjGgGUA6NLw09EwE0CqkOc4q9oUmW1yo/edit?usp=sharing"",""แม่ฮ่องสอน!I267"")"),50)</f>
        <v>50</v>
      </c>
      <c r="J372" s="188">
        <f ca="1">IFERROR(__xludf.DUMMYFUNCTION("IMPORTRANGE(""https://docs.google.com/spreadsheets/d/11923uPwbBZFjjGgGUA6NLw09EwE0CqkOc4q9oUmW1yo/edit?usp=sharing"",""แม่ฮ่องสอน!J267"")"),50)</f>
        <v>50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IFERROR(__xludf.DUMMYFUNCTION("IMPORTRANGE(""https://docs.google.com/spreadsheets/d/11923uPwbBZFjjGgGUA6NLw09EwE0CqkOc4q9oUmW1yo/edit?usp=sharing"",""แม่ฮ่องสอน!I164"")"),0)</f>
        <v>0</v>
      </c>
      <c r="J373" s="203">
        <f ca="1">IFERROR(__xludf.DUMMYFUNCTION("IMPORTRANGE(""https://docs.google.com/spreadsheets/d/11923uPwbBZFjjGgGUA6NLw09EwE0CqkOc4q9oUmW1yo/edit?usp=sharing"",""แม่ฮ่องสอน!J164"")"),0)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IFERROR(__xludf.DUMMYFUNCTION("IMPORTRANGE(""https://docs.google.com/spreadsheets/d/11923uPwbBZFjjGgGUA6NLw09EwE0CqkOc4q9oUmW1yo/edit?usp=sharing"",""แม่ฮ่องสอน!I164"")"),0)</f>
        <v>0</v>
      </c>
      <c r="J374" s="187">
        <f ca="1">IFERROR(__xludf.DUMMYFUNCTION("IMPORTRANGE(""https://docs.google.com/spreadsheets/d/11923uPwbBZFjjGgGUA6NLw09EwE0CqkOc4q9oUmW1yo/edit?usp=sharing"",""แม่ฮ่องสอน!J164"")"),0)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IFERROR(__xludf.DUMMYFUNCTION("IMPORTRANGE(""https://docs.google.com/spreadsheets/d/11923uPwbBZFjjGgGUA6NLw09EwE0CqkOc4q9oUmW1yo/edit?usp=sharing"",""แม่ฮ่องสอน!I270"")"),110)</f>
        <v>110</v>
      </c>
      <c r="J375" s="187">
        <f ca="1">IFERROR(__xludf.DUMMYFUNCTION("IMPORTRANGE(""https://docs.google.com/spreadsheets/d/11923uPwbBZFjjGgGUA6NLw09EwE0CqkOc4q9oUmW1yo/edit?usp=sharing"",""แม่ฮ่องสอน!J270"")"),110)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IFERROR(__xludf.DUMMYFUNCTION("IMPORTRANGE(""https://docs.google.com/spreadsheets/d/11923uPwbBZFjjGgGUA6NLw09EwE0CqkOc4q9oUmW1yo/edit?usp=sharing"",""แม่ฮ่องสอน!I271"")"),60)</f>
        <v>60</v>
      </c>
      <c r="J376" s="188">
        <f ca="1">IFERROR(__xludf.DUMMYFUNCTION("IMPORTRANGE(""https://docs.google.com/spreadsheets/d/11923uPwbBZFjjGgGUA6NLw09EwE0CqkOc4q9oUmW1yo/edit?usp=sharing"",""แม่ฮ่องสอน!J271"")"),60)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IFERROR(__xludf.DUMMYFUNCTION("IMPORTRANGE(""https://docs.google.com/spreadsheets/d/11923uPwbBZFjjGgGUA6NLw09EwE0CqkOc4q9oUmW1yo/edit?usp=sharing"",""แม่ฮ่องสอน!I272"")"),50)</f>
        <v>50</v>
      </c>
      <c r="J377" s="203">
        <f ca="1">IFERROR(__xludf.DUMMYFUNCTION("IMPORTRANGE(""https://docs.google.com/spreadsheets/d/11923uPwbBZFjjGgGUA6NLw09EwE0CqkOc4q9oUmW1yo/edit?usp=sharing"",""แม่ฮ่องสอน!J272"")"),50)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IFERROR(__xludf.DUMMYFUNCTION("IMPORTRANGE(""https://docs.google.com/spreadsheets/d/11923uPwbBZFjjGgGUA6NLw09EwE0CqkOc4q9oUmW1yo/edit?usp=sharing"",""แม่ฮ่องสอน!J273"")"),0)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IFERROR(__xludf.DUMMYFUNCTION("IMPORTRANGE(""https://docs.google.com/spreadsheets/d/11923uPwbBZFjjGgGUA6NLw09EwE0CqkOc4q9oUmW1yo/edit?usp=sharing"",""แม่ฮ่องสอน!J274"")"),0)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IFERROR(__xludf.DUMMYFUNCTION("IMPORTRANGE(""https://docs.google.com/spreadsheets/d/11923uPwbBZFjjGgGUA6NLw09EwE0CqkOc4q9oUmW1yo/edit?usp=sharing"",""แม่ฮ่องสอน!I275"")"),100)</f>
        <v>100</v>
      </c>
      <c r="J380" s="369">
        <f ca="1">IFERROR(__xludf.DUMMYFUNCTION("IMPORTRANGE(""https://docs.google.com/spreadsheets/d/11923uPwbBZFjjGgGUA6NLw09EwE0CqkOc4q9oUmW1yo/edit?usp=sharing"",""แม่ฮ่องสอน!J275"")"),0)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IFERROR(__xludf.DUMMYFUNCTION("IMPORTRANGE(""https://docs.google.com/spreadsheets/d/11923uPwbBZFjjGgGUA6NLw09EwE0CqkOc4q9oUmW1yo/edit?usp=sharing"",""แม่ฮ่องสอน!L275"")"),127660)</f>
        <v>127660</v>
      </c>
      <c r="M380" s="371"/>
      <c r="N380" s="371">
        <f ca="1">IFERROR(__xludf.DUMMYFUNCTION("IMPORTRANGE(""https://docs.google.com/spreadsheets/d/11923uPwbBZFjjGgGUA6NLw09EwE0CqkOc4q9oUmW1yo/edit?usp=sharing"",""แม่ฮ่องสอน!M275"")"),48710)</f>
        <v>48710</v>
      </c>
      <c r="O380" s="371">
        <f ca="1">+IF(L380&gt;0,N380*100/L380,0)</f>
        <v>38.156039479868397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IFERROR(__xludf.DUMMYFUNCTION("IMPORTRANGE(""https://docs.google.com/spreadsheets/d/11923uPwbBZFjjGgGUA6NLw09EwE0CqkOc4q9oUmW1yo/edit?usp=sharing"",""แม่ฮ่องสอน!I276"")"),10)</f>
        <v>10</v>
      </c>
      <c r="J381" s="369">
        <f ca="1">IFERROR(__xludf.DUMMYFUNCTION("IMPORTRANGE(""https://docs.google.com/spreadsheets/d/11923uPwbBZFjjGgGUA6NLw09EwE0CqkOc4q9oUmW1yo/edit?usp=sharing"",""แม่ฮ่องสอน!J276"")"),10)</f>
        <v>10</v>
      </c>
      <c r="K381" s="370">
        <f t="shared" ca="1" si="108"/>
        <v>100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IFERROR(__xludf.DUMMYFUNCTION("IMPORTRANGE(""https://docs.google.com/spreadsheets/d/11923uPwbBZFjjGgGUA6NLw09EwE0CqkOc4q9oUmW1yo/edit?usp=sharing"",""แม่ฮ่องสอน!L277"")"),0)</f>
        <v>0</v>
      </c>
      <c r="M382" s="164"/>
      <c r="N382" s="164">
        <f ca="1">IFERROR(__xludf.DUMMYFUNCTION("IMPORTRANGE(""https://docs.google.com/spreadsheets/d/11923uPwbBZFjjGgGUA6NLw09EwE0CqkOc4q9oUmW1yo/edit?usp=sharing"",""แม่ฮ่องสอน!M277"")"),0)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IFERROR(__xludf.DUMMYFUNCTION("IMPORTRANGE(""https://docs.google.com/spreadsheets/d/11923uPwbBZFjjGgGUA6NLw09EwE0CqkOc4q9oUmW1yo/edit?usp=sharing"",""แม่ฮ่องสอน!L278"")"),127660)</f>
        <v>127660</v>
      </c>
      <c r="M383" s="165"/>
      <c r="N383" s="165">
        <f ca="1">IFERROR(__xludf.DUMMYFUNCTION("IMPORTRANGE(""https://docs.google.com/spreadsheets/d/11923uPwbBZFjjGgGUA6NLw09EwE0CqkOc4q9oUmW1yo/edit?usp=sharing"",""แม่ฮ่องสอน!M278"")"),48710)</f>
        <v>48710</v>
      </c>
      <c r="O383" s="165">
        <f t="shared" ca="1" si="109"/>
        <v>38.156039479868397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IFERROR(__xludf.DUMMYFUNCTION("IMPORTRANGE(""https://docs.google.com/spreadsheets/d/11923uPwbBZFjjGgGUA6NLw09EwE0CqkOc4q9oUmW1yo/edit?usp=sharing"",""แม่ฮ่องสอน!L279"")"),0)</f>
        <v>0</v>
      </c>
      <c r="M384" s="168"/>
      <c r="N384" s="168">
        <f ca="1">IFERROR(__xludf.DUMMYFUNCTION("IMPORTRANGE(""https://docs.google.com/spreadsheets/d/11923uPwbBZFjjGgGUA6NLw09EwE0CqkOc4q9oUmW1yo/edit?usp=sharing"",""แม่ฮ่องสอน!M279"")"),0)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IFERROR(__xludf.DUMMYFUNCTION("IMPORTRANGE(""https://docs.google.com/spreadsheets/d/11923uPwbBZFjjGgGUA6NLw09EwE0CqkOc4q9oUmW1yo/edit?usp=sharing"",""แม่ฮ่องสอน!L280"")"),127660)</f>
        <v>127660</v>
      </c>
      <c r="M385" s="168"/>
      <c r="N385" s="167">
        <f ca="1">IFERROR(__xludf.DUMMYFUNCTION("IMPORTRANGE(""https://docs.google.com/spreadsheets/d/11923uPwbBZFjjGgGUA6NLw09EwE0CqkOc4q9oUmW1yo/edit?usp=sharing"",""แม่ฮ่องสอน!M280"")"),48710)</f>
        <v>48710</v>
      </c>
      <c r="O385" s="168">
        <f t="shared" ca="1" si="109"/>
        <v>38.156039479868397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IFERROR(__xludf.DUMMYFUNCTION("IMPORTRANGE(""https://docs.google.com/spreadsheets/d/11923uPwbBZFjjGgGUA6NLw09EwE0CqkOc4q9oUmW1yo/edit?usp=sharing"",""แม่ฮ่องสอน!M281"")"),41400)</f>
        <v>41400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IFERROR(__xludf.DUMMYFUNCTION("IMPORTRANGE(""https://docs.google.com/spreadsheets/d/11923uPwbBZFjjGgGUA6NLw09EwE0CqkOc4q9oUmW1yo/edit?usp=sharing"",""แม่ฮ่องสอน!M282"")"),0)</f>
        <v>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IFERROR(__xludf.DUMMYFUNCTION("IMPORTRANGE(""https://docs.google.com/spreadsheets/d/11923uPwbBZFjjGgGUA6NLw09EwE0CqkOc4q9oUmW1yo/edit?usp=sharing"",""แม่ฮ่องสอน!M283"")"),0)</f>
        <v>0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IFERROR(__xludf.DUMMYFUNCTION("IMPORTRANGE(""https://docs.google.com/spreadsheets/d/11923uPwbBZFjjGgGUA6NLw09EwE0CqkOc4q9oUmW1yo/edit?usp=sharing"",""แม่ฮ่องสอน!M284"")"),7310)</f>
        <v>7310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IFERROR(__xludf.DUMMYFUNCTION("IMPORTRANGE(""https://docs.google.com/spreadsheets/d/11923uPwbBZFjjGgGUA6NLw09EwE0CqkOc4q9oUmW1yo/edit?usp=sharing"",""แม่ฮ่องสอน!J286"")"),0)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IFERROR(__xludf.DUMMYFUNCTION("IMPORTRANGE(""https://docs.google.com/spreadsheets/d/11923uPwbBZFjjGgGUA6NLw09EwE0CqkOc4q9oUmW1yo/edit?usp=sharing"",""แม่ฮ่องสอน!J287"")"),1)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IFERROR(__xludf.DUMMYFUNCTION("IMPORTRANGE(""https://docs.google.com/spreadsheets/d/11923uPwbBZFjjGgGUA6NLw09EwE0CqkOc4q9oUmW1yo/edit?usp=sharing"",""แม่ฮ่องสอน!J288"")"),1)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IFERROR(__xludf.DUMMYFUNCTION("IMPORTRANGE(""https://docs.google.com/spreadsheets/d/11923uPwbBZFjjGgGUA6NLw09EwE0CqkOc4q9oUmW1yo/edit?usp=sharing"",""แม่ฮ่องสอน!J289"")"),1)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IFERROR(__xludf.DUMMYFUNCTION("IMPORTRANGE(""https://docs.google.com/spreadsheets/d/11923uPwbBZFjjGgGUA6NLw09EwE0CqkOc4q9oUmW1yo/edit?usp=sharing"",""แม่ฮ่องสอน!I291"")"),10)</f>
        <v>10</v>
      </c>
      <c r="J396" s="197">
        <f ca="1">IFERROR(__xludf.DUMMYFUNCTION("IMPORTRANGE(""https://docs.google.com/spreadsheets/d/11923uPwbBZFjjGgGUA6NLw09EwE0CqkOc4q9oUmW1yo/edit?usp=sharing"",""แม่ฮ่องสอน!J291"")"),10)</f>
        <v>10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IFERROR(__xludf.DUMMYFUNCTION("IMPORTRANGE(""https://docs.google.com/spreadsheets/d/11923uPwbBZFjjGgGUA6NLw09EwE0CqkOc4q9oUmW1yo/edit?usp=sharing"",""แม่ฮ่องสอน!I292"")"),100)</f>
        <v>100</v>
      </c>
      <c r="J397" s="197">
        <f ca="1">IFERROR(__xludf.DUMMYFUNCTION("IMPORTRANGE(""https://docs.google.com/spreadsheets/d/11923uPwbBZFjjGgGUA6NLw09EwE0CqkOc4q9oUmW1yo/edit?usp=sharing"",""แม่ฮ่องสอน!J292"")"),0)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IFERROR(__xludf.DUMMYFUNCTION("IMPORTRANGE(""https://docs.google.com/spreadsheets/d/11923uPwbBZFjjGgGUA6NLw09EwE0CqkOc4q9oUmW1yo/edit?usp=sharing"",""แม่ฮ่องสอน!I293"")"),10)</f>
        <v>10</v>
      </c>
      <c r="J398" s="197">
        <f ca="1">IFERROR(__xludf.DUMMYFUNCTION("IMPORTRANGE(""https://docs.google.com/spreadsheets/d/11923uPwbBZFjjGgGUA6NLw09EwE0CqkOc4q9oUmW1yo/edit?usp=sharing"",""แม่ฮ่องสอน!J293"")"),0)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IFERROR(__xludf.DUMMYFUNCTION("IMPORTRANGE(""https://docs.google.com/spreadsheets/d/11923uPwbBZFjjGgGUA6NLw09EwE0CqkOc4q9oUmW1yo/edit?usp=sharing"",""แม่ฮ่องสอน!J294"")"),0)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IFERROR(__xludf.DUMMYFUNCTION("IMPORTRANGE(""https://docs.google.com/spreadsheets/d/11923uPwbBZFjjGgGUA6NLw09EwE0CqkOc4q9oUmW1yo/edit?usp=sharing"",""แม่ฮ่องสอน!J295"")"),0)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IFERROR(__xludf.DUMMYFUNCTION("IMPORTRANGE(""https://docs.google.com/spreadsheets/d/11923uPwbBZFjjGgGUA6NLw09EwE0CqkOc4q9oUmW1yo/edit?usp=sharing"",""แม่ฮ่องสอน!I296"")"),93)</f>
        <v>93</v>
      </c>
      <c r="J401" s="369">
        <f ca="1">IFERROR(__xludf.DUMMYFUNCTION("IMPORTRANGE(""https://docs.google.com/spreadsheets/d/11923uPwbBZFjjGgGUA6NLw09EwE0CqkOc4q9oUmW1yo/edit?usp=sharing"",""แม่ฮ่องสอน!J296"")"),0)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IFERROR(__xludf.DUMMYFUNCTION("IMPORTRANGE(""https://docs.google.com/spreadsheets/d/11923uPwbBZFjjGgGUA6NLw09EwE0CqkOc4q9oUmW1yo/edit?usp=sharing"",""แม่ฮ่องสอน!L296"")"),104590)</f>
        <v>104590</v>
      </c>
      <c r="M401" s="371"/>
      <c r="N401" s="371">
        <f ca="1">IFERROR(__xludf.DUMMYFUNCTION("IMPORTRANGE(""https://docs.google.com/spreadsheets/d/11923uPwbBZFjjGgGUA6NLw09EwE0CqkOc4q9oUmW1yo/edit?usp=sharing"",""แม่ฮ่องสอน!M296"")"),75090)</f>
        <v>75090</v>
      </c>
      <c r="O401" s="371">
        <f ca="1">+IF(L401&gt;0,N401*100/L401,0)</f>
        <v>71.794626637345829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IFERROR(__xludf.DUMMYFUNCTION("IMPORTRANGE(""https://docs.google.com/spreadsheets/d/11923uPwbBZFjjGgGUA6NLw09EwE0CqkOc4q9oUmW1yo/edit?usp=sharing"",""แม่ฮ่องสอน!I297"")"),31)</f>
        <v>31</v>
      </c>
      <c r="J402" s="369">
        <f ca="1">IFERROR(__xludf.DUMMYFUNCTION("IMPORTRANGE(""https://docs.google.com/spreadsheets/d/11923uPwbBZFjjGgGUA6NLw09EwE0CqkOc4q9oUmW1yo/edit?usp=sharing"",""แม่ฮ่องสอน!J297"")"),31)</f>
        <v>31</v>
      </c>
      <c r="K402" s="370">
        <f t="shared" ca="1" si="111"/>
        <v>100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IFERROR(__xludf.DUMMYFUNCTION("IMPORTRANGE(""https://docs.google.com/spreadsheets/d/11923uPwbBZFjjGgGUA6NLw09EwE0CqkOc4q9oUmW1yo/edit?usp=sharing"",""แม่ฮ่องสอน!L298"")"),0)</f>
        <v>0</v>
      </c>
      <c r="M403" s="164"/>
      <c r="N403" s="168">
        <f ca="1">IFERROR(__xludf.DUMMYFUNCTION("IMPORTRANGE(""https://docs.google.com/spreadsheets/d/11923uPwbBZFjjGgGUA6NLw09EwE0CqkOc4q9oUmW1yo/edit?usp=sharing"",""แม่ฮ่องสอน!M298"")"),0)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IFERROR(__xludf.DUMMYFUNCTION("IMPORTRANGE(""https://docs.google.com/spreadsheets/d/11923uPwbBZFjjGgGUA6NLw09EwE0CqkOc4q9oUmW1yo/edit?usp=sharing"",""แม่ฮ่องสอน!L299"")"),104590)</f>
        <v>104590</v>
      </c>
      <c r="M404" s="165"/>
      <c r="N404" s="168">
        <f ca="1">IFERROR(__xludf.DUMMYFUNCTION("IMPORTRANGE(""https://docs.google.com/spreadsheets/d/11923uPwbBZFjjGgGUA6NLw09EwE0CqkOc4q9oUmW1yo/edit?usp=sharing"",""แม่ฮ่องสอน!M299"")"),75090)</f>
        <v>75090</v>
      </c>
      <c r="O404" s="168">
        <f t="shared" ca="1" si="112"/>
        <v>71.794626637345829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IFERROR(__xludf.DUMMYFUNCTION("IMPORTRANGE(""https://docs.google.com/spreadsheets/d/11923uPwbBZFjjGgGUA6NLw09EwE0CqkOc4q9oUmW1yo/edit?usp=sharing"",""แม่ฮ่องสอน!L300"")"),0)</f>
        <v>0</v>
      </c>
      <c r="M405" s="168"/>
      <c r="N405" s="168">
        <f ca="1">IFERROR(__xludf.DUMMYFUNCTION("IMPORTRANGE(""https://docs.google.com/spreadsheets/d/11923uPwbBZFjjGgGUA6NLw09EwE0CqkOc4q9oUmW1yo/edit?usp=sharing"",""แม่ฮ่องสอน!M300"")"),0)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IFERROR(__xludf.DUMMYFUNCTION("IMPORTRANGE(""https://docs.google.com/spreadsheets/d/11923uPwbBZFjjGgGUA6NLw09EwE0CqkOc4q9oUmW1yo/edit?usp=sharing"",""แม่ฮ่องสอน!L301"")"),104590)</f>
        <v>104590</v>
      </c>
      <c r="M406" s="168"/>
      <c r="N406" s="168">
        <f ca="1">IFERROR(__xludf.DUMMYFUNCTION("IMPORTRANGE(""https://docs.google.com/spreadsheets/d/11923uPwbBZFjjGgGUA6NLw09EwE0CqkOc4q9oUmW1yo/edit?usp=sharing"",""แม่ฮ่องสอน!M301"")"),75090)</f>
        <v>75090</v>
      </c>
      <c r="O406" s="168">
        <f t="shared" ca="1" si="112"/>
        <v>71.794626637345829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IFERROR(__xludf.DUMMYFUNCTION("IMPORTRANGE(""https://docs.google.com/spreadsheets/d/11923uPwbBZFjjGgGUA6NLw09EwE0CqkOc4q9oUmW1yo/edit?usp=sharing"",""แม่ฮ่องสอน!M302"")"),67070)</f>
        <v>67070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IFERROR(__xludf.DUMMYFUNCTION("IMPORTRANGE(""https://docs.google.com/spreadsheets/d/11923uPwbBZFjjGgGUA6NLw09EwE0CqkOc4q9oUmW1yo/edit?usp=sharing"",""แม่ฮ่องสอน!M303"")"),0)</f>
        <v>0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IFERROR(__xludf.DUMMYFUNCTION("IMPORTRANGE(""https://docs.google.com/spreadsheets/d/11923uPwbBZFjjGgGUA6NLw09EwE0CqkOc4q9oUmW1yo/edit?usp=sharing"",""แม่ฮ่องสอน!M304"")"),0)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IFERROR(__xludf.DUMMYFUNCTION("IMPORTRANGE(""https://docs.google.com/spreadsheets/d/11923uPwbBZFjjGgGUA6NLw09EwE0CqkOc4q9oUmW1yo/edit?usp=sharing"",""แม่ฮ่องสอน!M305"")"),8020)</f>
        <v>8020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IFERROR(__xludf.DUMMYFUNCTION("IMPORTRANGE(""https://docs.google.com/spreadsheets/d/11923uPwbBZFjjGgGUA6NLw09EwE0CqkOc4q9oUmW1yo/edit?usp=sharing"",""แม่ฮ่องสอน!J307"")"),0)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IFERROR(__xludf.DUMMYFUNCTION("IMPORTRANGE(""https://docs.google.com/spreadsheets/d/11923uPwbBZFjjGgGUA6NLw09EwE0CqkOc4q9oUmW1yo/edit?usp=sharing"",""แม่ฮ่องสอน!J308"")"),1)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IFERROR(__xludf.DUMMYFUNCTION("IMPORTRANGE(""https://docs.google.com/spreadsheets/d/11923uPwbBZFjjGgGUA6NLw09EwE0CqkOc4q9oUmW1yo/edit?usp=sharing"",""แม่ฮ่องสอน!J309"")"),1)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IFERROR(__xludf.DUMMYFUNCTION("IMPORTRANGE(""https://docs.google.com/spreadsheets/d/11923uPwbBZFjjGgGUA6NLw09EwE0CqkOc4q9oUmW1yo/edit?usp=sharing"",""แม่ฮ่องสอน!J310"")"),0)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IFERROR(__xludf.DUMMYFUNCTION("IMPORTRANGE(""https://docs.google.com/spreadsheets/d/11923uPwbBZFjjGgGUA6NLw09EwE0CqkOc4q9oUmW1yo/edit?usp=sharing"",""แม่ฮ่องสอน!I311"")"),31)</f>
        <v>31</v>
      </c>
      <c r="J416" s="200">
        <f ca="1">IFERROR(__xludf.DUMMYFUNCTION("IMPORTRANGE(""https://docs.google.com/spreadsheets/d/11923uPwbBZFjjGgGUA6NLw09EwE0CqkOc4q9oUmW1yo/edit?usp=sharing"",""แม่ฮ่องสอน!J311"")"),31)</f>
        <v>31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IFERROR(__xludf.DUMMYFUNCTION("IMPORTRANGE(""https://docs.google.com/spreadsheets/d/11923uPwbBZFjjGgGUA6NLw09EwE0CqkOc4q9oUmW1yo/edit?usp=sharing"",""แม่ฮ่องสอน!I312"")"),0)</f>
        <v>0</v>
      </c>
      <c r="J417" s="390">
        <f ca="1">IFERROR(__xludf.DUMMYFUNCTION("IMPORTRANGE(""https://docs.google.com/spreadsheets/d/11923uPwbBZFjjGgGUA6NLw09EwE0CqkOc4q9oUmW1yo/edit?usp=sharing"",""แม่ฮ่องสอน!J312"")"),0)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IFERROR(__xludf.DUMMYFUNCTION("IMPORTRANGE(""https://docs.google.com/spreadsheets/d/11923uPwbBZFjjGgGUA6NLw09EwE0CqkOc4q9oUmW1yo/edit?usp=sharing"",""แม่ฮ่องสอน!I313"")"),0)</f>
        <v>0</v>
      </c>
      <c r="J418" s="391">
        <f ca="1">IFERROR(__xludf.DUMMYFUNCTION("IMPORTRANGE(""https://docs.google.com/spreadsheets/d/11923uPwbBZFjjGgGUA6NLw09EwE0CqkOc4q9oUmW1yo/edit?usp=sharing"",""แม่ฮ่องสอน!J313"")"),0)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IFERROR(__xludf.DUMMYFUNCTION("IMPORTRANGE(""https://docs.google.com/spreadsheets/d/11923uPwbBZFjjGgGUA6NLw09EwE0CqkOc4q9oUmW1yo/edit?usp=sharing"",""แม่ฮ่องสอน!I314"")"),0)</f>
        <v>0</v>
      </c>
      <c r="J419" s="392">
        <f ca="1">IFERROR(__xludf.DUMMYFUNCTION("IMPORTRANGE(""https://docs.google.com/spreadsheets/d/11923uPwbBZFjjGgGUA6NLw09EwE0CqkOc4q9oUmW1yo/edit?usp=sharing"",""แม่ฮ่องสอน!J314"")"),0)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IFERROR(__xludf.DUMMYFUNCTION("IMPORTRANGE(""https://docs.google.com/spreadsheets/d/11923uPwbBZFjjGgGUA6NLw09EwE0CqkOc4q9oUmW1yo/edit?usp=sharing"",""แม่ฮ่องสอน!I315"")"),0)</f>
        <v>0</v>
      </c>
      <c r="J420" s="392">
        <f ca="1">IFERROR(__xludf.DUMMYFUNCTION("IMPORTRANGE(""https://docs.google.com/spreadsheets/d/11923uPwbBZFjjGgGUA6NLw09EwE0CqkOc4q9oUmW1yo/edit?usp=sharing"",""แม่ฮ่องสอน!J315"")"),0)</f>
        <v>0</v>
      </c>
      <c r="K420" s="286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IFERROR(__xludf.DUMMYFUNCTION("IMPORTRANGE(""https://docs.google.com/spreadsheets/d/11923uPwbBZFjjGgGUA6NLw09EwE0CqkOc4q9oUmW1yo/edit?usp=sharing"",""แม่ฮ่องสอน!I316"")"),21)</f>
        <v>21</v>
      </c>
      <c r="J421" s="390">
        <f ca="1">IFERROR(__xludf.DUMMYFUNCTION("IMPORTRANGE(""https://docs.google.com/spreadsheets/d/11923uPwbBZFjjGgGUA6NLw09EwE0CqkOc4q9oUmW1yo/edit?usp=sharing"",""แม่ฮ่องสอน!J316"")"),21)</f>
        <v>21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IFERROR(__xludf.DUMMYFUNCTION("IMPORTRANGE(""https://docs.google.com/spreadsheets/d/11923uPwbBZFjjGgGUA6NLw09EwE0CqkOc4q9oUmW1yo/edit?usp=sharing"",""แม่ฮ่องสอน!I317"")"),63)</f>
        <v>63</v>
      </c>
      <c r="J422" s="391">
        <f ca="1">IFERROR(__xludf.DUMMYFUNCTION("IMPORTRANGE(""https://docs.google.com/spreadsheets/d/11923uPwbBZFjjGgGUA6NLw09EwE0CqkOc4q9oUmW1yo/edit?usp=sharing"",""แม่ฮ่องสอน!J317"")"),0)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IFERROR(__xludf.DUMMYFUNCTION("IMPORTRANGE(""https://docs.google.com/spreadsheets/d/11923uPwbBZFjjGgGUA6NLw09EwE0CqkOc4q9oUmW1yo/edit?usp=sharing"",""แม่ฮ่องสอน!I318"")"),21)</f>
        <v>21</v>
      </c>
      <c r="J423" s="392">
        <f ca="1">IFERROR(__xludf.DUMMYFUNCTION("IMPORTRANGE(""https://docs.google.com/spreadsheets/d/11923uPwbBZFjjGgGUA6NLw09EwE0CqkOc4q9oUmW1yo/edit?usp=sharing"",""แม่ฮ่องสอน!J318"")"),21)</f>
        <v>21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IFERROR(__xludf.DUMMYFUNCTION("IMPORTRANGE(""https://docs.google.com/spreadsheets/d/11923uPwbBZFjjGgGUA6NLw09EwE0CqkOc4q9oUmW1yo/edit?usp=sharing"",""แม่ฮ่องสอน!I319"")"),21)</f>
        <v>21</v>
      </c>
      <c r="J424" s="392">
        <f ca="1">IFERROR(__xludf.DUMMYFUNCTION("IMPORTRANGE(""https://docs.google.com/spreadsheets/d/11923uPwbBZFjjGgGUA6NLw09EwE0CqkOc4q9oUmW1yo/edit?usp=sharing"",""แม่ฮ่องสอน!J319"")"),21)</f>
        <v>21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IFERROR(__xludf.DUMMYFUNCTION("IMPORTRANGE(""https://docs.google.com/spreadsheets/d/11923uPwbBZFjjGgGUA6NLw09EwE0CqkOc4q9oUmW1yo/edit?usp=sharing"",""แม่ฮ่องสอน!I320"")"),21)</f>
        <v>21</v>
      </c>
      <c r="J425" s="392">
        <f ca="1">IFERROR(__xludf.DUMMYFUNCTION("IMPORTRANGE(""https://docs.google.com/spreadsheets/d/11923uPwbBZFjjGgGUA6NLw09EwE0CqkOc4q9oUmW1yo/edit?usp=sharing"",""แม่ฮ่องสอน!J320"")"),21)</f>
        <v>21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IFERROR(__xludf.DUMMYFUNCTION("IMPORTRANGE(""https://docs.google.com/spreadsheets/d/11923uPwbBZFjjGgGUA6NLw09EwE0CqkOc4q9oUmW1yo/edit?usp=sharing"",""แม่ฮ่องสอน!I321"")"),10)</f>
        <v>10</v>
      </c>
      <c r="J426" s="390">
        <f ca="1">IFERROR(__xludf.DUMMYFUNCTION("IMPORTRANGE(""https://docs.google.com/spreadsheets/d/11923uPwbBZFjjGgGUA6NLw09EwE0CqkOc4q9oUmW1yo/edit?usp=sharing"",""แม่ฮ่องสอน!J321"")"),10)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IFERROR(__xludf.DUMMYFUNCTION("IMPORTRANGE(""https://docs.google.com/spreadsheets/d/11923uPwbBZFjjGgGUA6NLw09EwE0CqkOc4q9oUmW1yo/edit?usp=sharing"",""แม่ฮ่องสอน!I322"")"),30)</f>
        <v>30</v>
      </c>
      <c r="J427" s="391">
        <f ca="1">IFERROR(__xludf.DUMMYFUNCTION("IMPORTRANGE(""https://docs.google.com/spreadsheets/d/11923uPwbBZFjjGgGUA6NLw09EwE0CqkOc4q9oUmW1yo/edit?usp=sharing"",""แม่ฮ่องสอน!J322"")"),0)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IFERROR(__xludf.DUMMYFUNCTION("IMPORTRANGE(""https://docs.google.com/spreadsheets/d/11923uPwbBZFjjGgGUA6NLw09EwE0CqkOc4q9oUmW1yo/edit?usp=sharing"",""แม่ฮ่องสอน!I323"")"),10)</f>
        <v>10</v>
      </c>
      <c r="J428" s="392">
        <f ca="1">IFERROR(__xludf.DUMMYFUNCTION("IMPORTRANGE(""https://docs.google.com/spreadsheets/d/11923uPwbBZFjjGgGUA6NLw09EwE0CqkOc4q9oUmW1yo/edit?usp=sharing"",""แม่ฮ่องสอน!J323"")"),10)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IFERROR(__xludf.DUMMYFUNCTION("IMPORTRANGE(""https://docs.google.com/spreadsheets/d/11923uPwbBZFjjGgGUA6NLw09EwE0CqkOc4q9oUmW1yo/edit?usp=sharing"",""แม่ฮ่องสอน!I324"")"),10)</f>
        <v>10</v>
      </c>
      <c r="J429" s="392">
        <f ca="1">IFERROR(__xludf.DUMMYFUNCTION("IMPORTRANGE(""https://docs.google.com/spreadsheets/d/11923uPwbBZFjjGgGUA6NLw09EwE0CqkOc4q9oUmW1yo/edit?usp=sharing"",""แม่ฮ่องสอน!J324"")"),10)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IFERROR(__xludf.DUMMYFUNCTION("IMPORTRANGE(""https://docs.google.com/spreadsheets/d/11923uPwbBZFjjGgGUA6NLw09EwE0CqkOc4q9oUmW1yo/edit?usp=sharing"",""แม่ฮ่องสอน!I325"")"),21)</f>
        <v>21</v>
      </c>
      <c r="J430" s="390">
        <f ca="1">IFERROR(__xludf.DUMMYFUNCTION("IMPORTRANGE(""https://docs.google.com/spreadsheets/d/11923uPwbBZFjjGgGUA6NLw09EwE0CqkOc4q9oUmW1yo/edit?usp=sharing"",""แม่ฮ่องสอน!J325"")"),0)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IFERROR(__xludf.DUMMYFUNCTION("IMPORTRANGE(""https://docs.google.com/spreadsheets/d/11923uPwbBZFjjGgGUA6NLw09EwE0CqkOc4q9oUmW1yo/edit?usp=sharing"",""แม่ฮ่องสอน!I326"")"),0)</f>
        <v>0</v>
      </c>
      <c r="J431" s="392">
        <f ca="1">IFERROR(__xludf.DUMMYFUNCTION("IMPORTRANGE(""https://docs.google.com/spreadsheets/d/11923uPwbBZFjjGgGUA6NLw09EwE0CqkOc4q9oUmW1yo/edit?usp=sharing"",""แม่ฮ่องสอน!J326"")"),0)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IFERROR(__xludf.DUMMYFUNCTION("IMPORTRANGE(""https://docs.google.com/spreadsheets/d/11923uPwbBZFjjGgGUA6NLw09EwE0CqkOc4q9oUmW1yo/edit?usp=sharing"",""แม่ฮ่องสอน!I327"")"),21)</f>
        <v>21</v>
      </c>
      <c r="J432" s="392">
        <f ca="1">IFERROR(__xludf.DUMMYFUNCTION("IMPORTRANGE(""https://docs.google.com/spreadsheets/d/11923uPwbBZFjjGgGUA6NLw09EwE0CqkOc4q9oUmW1yo/edit?usp=sharing"",""แม่ฮ่องสอน!J327"")"),0)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IFERROR(__xludf.DUMMYFUNCTION("IMPORTRANGE(""https://docs.google.com/spreadsheets/d/11923uPwbBZFjjGgGUA6NLw09EwE0CqkOc4q9oUmW1yo/edit?usp=sharing"",""แม่ฮ่องสอน!J328"")"),0)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IFERROR(__xludf.DUMMYFUNCTION("IMPORTRANGE(""https://docs.google.com/spreadsheets/d/11923uPwbBZFjjGgGUA6NLw09EwE0CqkOc4q9oUmW1yo/edit?usp=sharing"",""แม่ฮ่องสอน!J329"")"),0)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IFERROR(__xludf.DUMMYFUNCTION("IMPORTRANGE(""https://docs.google.com/spreadsheets/d/11923uPwbBZFjjGgGUA6NLw09EwE0CqkOc4q9oUmW1yo/edit?usp=sharing"",""แม่ฮ่องสอน!I330"")"),20)</f>
        <v>20</v>
      </c>
      <c r="J435" s="408">
        <f ca="1">IFERROR(__xludf.DUMMYFUNCTION("IMPORTRANGE(""https://docs.google.com/spreadsheets/d/11923uPwbBZFjjGgGUA6NLw09EwE0CqkOc4q9oUmW1yo/edit?usp=sharing"",""แม่ฮ่องสอน!J330"")"),20)</f>
        <v>20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IFERROR(__xludf.DUMMYFUNCTION("IMPORTRANGE(""https://docs.google.com/spreadsheets/d/11923uPwbBZFjjGgGUA6NLw09EwE0CqkOc4q9oUmW1yo/edit?usp=sharing"",""แม่ฮ่องสอน!L330"")"),100000)</f>
        <v>100000</v>
      </c>
      <c r="M435" s="410"/>
      <c r="N435" s="410">
        <f ca="1">IFERROR(__xludf.DUMMYFUNCTION("IMPORTRANGE(""https://docs.google.com/spreadsheets/d/11923uPwbBZFjjGgGUA6NLw09EwE0CqkOc4q9oUmW1yo/edit?usp=sharing"",""แม่ฮ่องสอน!M330"")"),57929)</f>
        <v>57929</v>
      </c>
      <c r="O435" s="410">
        <f t="shared" ref="O435:O439" ca="1" si="114">+IF(L435&gt;0,N435*100/L435,0)</f>
        <v>57.929000000000002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IFERROR(__xludf.DUMMYFUNCTION("IMPORTRANGE(""https://docs.google.com/spreadsheets/d/11923uPwbBZFjjGgGUA6NLw09EwE0CqkOc4q9oUmW1yo/edit?usp=sharing"",""แม่ฮ่องสอน!L331"")"),0)</f>
        <v>0</v>
      </c>
      <c r="M436" s="164"/>
      <c r="N436" s="168">
        <f ca="1">IFERROR(__xludf.DUMMYFUNCTION("IMPORTRANGE(""https://docs.google.com/spreadsheets/d/11923uPwbBZFjjGgGUA6NLw09EwE0CqkOc4q9oUmW1yo/edit?usp=sharing"",""แม่ฮ่องสอน!M331"")"),0)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IFERROR(__xludf.DUMMYFUNCTION("IMPORTRANGE(""https://docs.google.com/spreadsheets/d/11923uPwbBZFjjGgGUA6NLw09EwE0CqkOc4q9oUmW1yo/edit?usp=sharing"",""แม่ฮ่องสอน!L332"")"),100000)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IFERROR(__xludf.DUMMYFUNCTION("IMPORTRANGE(""https://docs.google.com/spreadsheets/d/11923uPwbBZFjjGgGUA6NLw09EwE0CqkOc4q9oUmW1yo/edit?usp=sharing"",""แม่ฮ่องสอน!M332"")"),57929)</f>
        <v>57929</v>
      </c>
      <c r="O437" s="168">
        <f t="shared" ca="1" si="114"/>
        <v>57.929000000000002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IFERROR(__xludf.DUMMYFUNCTION("IMPORTRANGE(""https://docs.google.com/spreadsheets/d/11923uPwbBZFjjGgGUA6NLw09EwE0CqkOc4q9oUmW1yo/edit?usp=sharing"",""แม่ฮ่องสอน!L333"")"),0)</f>
        <v>0</v>
      </c>
      <c r="M438" s="168"/>
      <c r="N438" s="168">
        <f ca="1">IFERROR(__xludf.DUMMYFUNCTION("IMPORTRANGE(""https://docs.google.com/spreadsheets/d/11923uPwbBZFjjGgGUA6NLw09EwE0CqkOc4q9oUmW1yo/edit?usp=sharing"",""แม่ฮ่องสอน!M333"")"),0)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IFERROR(__xludf.DUMMYFUNCTION("IMPORTRANGE(""https://docs.google.com/spreadsheets/d/11923uPwbBZFjjGgGUA6NLw09EwE0CqkOc4q9oUmW1yo/edit?usp=sharing"",""แม่ฮ่องสอน!L334"")"),100000)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IFERROR(__xludf.DUMMYFUNCTION("IMPORTRANGE(""https://docs.google.com/spreadsheets/d/11923uPwbBZFjjGgGUA6NLw09EwE0CqkOc4q9oUmW1yo/edit?usp=sharing"",""แม่ฮ่องสอน!M334"")"),57929)</f>
        <v>57929</v>
      </c>
      <c r="O439" s="168">
        <f t="shared" ca="1" si="114"/>
        <v>57.929000000000002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IFERROR(__xludf.DUMMYFUNCTION("IMPORTRANGE(""https://docs.google.com/spreadsheets/d/11923uPwbBZFjjGgGUA6NLw09EwE0CqkOc4q9oUmW1yo/edit?usp=sharing"",""แม่ฮ่องสอน!M335"")"),44200)</f>
        <v>44200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IFERROR(__xludf.DUMMYFUNCTION("IMPORTRANGE(""https://docs.google.com/spreadsheets/d/11923uPwbBZFjjGgGUA6NLw09EwE0CqkOc4q9oUmW1yo/edit?usp=sharing"",""แม่ฮ่องสอน!M336"")"),0)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IFERROR(__xludf.DUMMYFUNCTION("IMPORTRANGE(""https://docs.google.com/spreadsheets/d/11923uPwbBZFjjGgGUA6NLw09EwE0CqkOc4q9oUmW1yo/edit?usp=sharing"",""แม่ฮ่องสอน!M337"")"),0)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IFERROR(__xludf.DUMMYFUNCTION("IMPORTRANGE(""https://docs.google.com/spreadsheets/d/11923uPwbBZFjjGgGUA6NLw09EwE0CqkOc4q9oUmW1yo/edit?usp=sharing"",""แม่ฮ่องสอน!M338"")"),13729)</f>
        <v>13729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IFERROR(__xludf.DUMMYFUNCTION("IMPORTRANGE(""https://docs.google.com/spreadsheets/d/11923uPwbBZFjjGgGUA6NLw09EwE0CqkOc4q9oUmW1yo/edit?usp=sharing"",""แม่ฮ่องสอน!J340"")"),0)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IFERROR(__xludf.DUMMYFUNCTION("IMPORTRANGE(""https://docs.google.com/spreadsheets/d/11923uPwbBZFjjGgGUA6NLw09EwE0CqkOc4q9oUmW1yo/edit?usp=sharing"",""แม่ฮ่องสอน!J341"")"),1)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IFERROR(__xludf.DUMMYFUNCTION("IMPORTRANGE(""https://docs.google.com/spreadsheets/d/11923uPwbBZFjjGgGUA6NLw09EwE0CqkOc4q9oUmW1yo/edit?usp=sharing"",""แม่ฮ่องสอน!J342"")"),1)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IFERROR(__xludf.DUMMYFUNCTION("IMPORTRANGE(""https://docs.google.com/spreadsheets/d/11923uPwbBZFjjGgGUA6NLw09EwE0CqkOc4q9oUmW1yo/edit?usp=sharing"",""แม่ฮ่องสอน!J343"")"),1)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IFERROR(__xludf.DUMMYFUNCTION("IMPORTRANGE(""https://docs.google.com/spreadsheets/d/11923uPwbBZFjjGgGUA6NLw09EwE0CqkOc4q9oUmW1yo/edit?usp=sharing"",""แม่ฮ่องสอน!I344"")"),20)</f>
        <v>20</v>
      </c>
      <c r="J449" s="200">
        <f ca="1">IFERROR(__xludf.DUMMYFUNCTION("IMPORTRANGE(""https://docs.google.com/spreadsheets/d/11923uPwbBZFjjGgGUA6NLw09EwE0CqkOc4q9oUmW1yo/edit?usp=sharing"",""แม่ฮ่องสอน!J344"")"),20)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IFERROR(__xludf.DUMMYFUNCTION("IMPORTRANGE(""https://docs.google.com/spreadsheets/d/11923uPwbBZFjjGgGUA6NLw09EwE0CqkOc4q9oUmW1yo/edit?usp=sharing"",""แม่ฮ่องสอน!I345"")"),20)</f>
        <v>20</v>
      </c>
      <c r="J450" s="188">
        <f ca="1">IFERROR(__xludf.DUMMYFUNCTION("IMPORTRANGE(""https://docs.google.com/spreadsheets/d/11923uPwbBZFjjGgGUA6NLw09EwE0CqkOc4q9oUmW1yo/edit?usp=sharing"",""แม่ฮ่องสอน!J345"")"),20)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IFERROR(__xludf.DUMMYFUNCTION("IMPORTRANGE(""https://docs.google.com/spreadsheets/d/11923uPwbBZFjjGgGUA6NLw09EwE0CqkOc4q9oUmW1yo/edit?usp=sharing"",""แม่ฮ่องสอน!I346"")"),0)</f>
        <v>0</v>
      </c>
      <c r="J451" s="187">
        <f ca="1">IFERROR(__xludf.DUMMYFUNCTION("IMPORTRANGE(""https://docs.google.com/spreadsheets/d/11923uPwbBZFjjGgGUA6NLw09EwE0CqkOc4q9oUmW1yo/edit?usp=sharing"",""แม่ฮ่องสอน!J346"")"),0)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IFERROR(__xludf.DUMMYFUNCTION("IMPORTRANGE(""https://docs.google.com/spreadsheets/d/11923uPwbBZFjjGgGUA6NLw09EwE0CqkOc4q9oUmW1yo/edit?usp=sharing"",""แม่ฮ่องสอน!I347"")"),0)</f>
        <v>0</v>
      </c>
      <c r="J452" s="187">
        <f ca="1">IFERROR(__xludf.DUMMYFUNCTION("IMPORTRANGE(""https://docs.google.com/spreadsheets/d/11923uPwbBZFjjGgGUA6NLw09EwE0CqkOc4q9oUmW1yo/edit?usp=sharing"",""แม่ฮ่องสอน!J347"")"),0)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IFERROR(__xludf.DUMMYFUNCTION("IMPORTRANGE(""https://docs.google.com/spreadsheets/d/11923uPwbBZFjjGgGUA6NLw09EwE0CqkOc4q9oUmW1yo/edit?usp=sharing"",""แม่ฮ่องสอน!J348"")"),1)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IFERROR(__xludf.DUMMYFUNCTION("IMPORTRANGE(""https://docs.google.com/spreadsheets/d/11923uPwbBZFjjGgGUA6NLw09EwE0CqkOc4q9oUmW1yo/edit?usp=sharing"",""แม่ฮ่องสอน!J349"")"),0)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IFERROR(__xludf.DUMMYFUNCTION("IMPORTRANGE(""https://docs.google.com/spreadsheets/d/11923uPwbBZFjjGgGUA6NLw09EwE0CqkOc4q9oUmW1yo/edit?usp=sharing"",""แม่ฮ่องสอน!I350"")"),4665)</f>
        <v>4665</v>
      </c>
      <c r="J455" s="369">
        <f ca="1">IFERROR(__xludf.DUMMYFUNCTION("IMPORTRANGE(""https://docs.google.com/spreadsheets/d/11923uPwbBZFjjGgGUA6NLw09EwE0CqkOc4q9oUmW1yo/edit?usp=sharing"",""แม่ฮ่องสอน!J350"")"),4665)</f>
        <v>4665</v>
      </c>
      <c r="K455" s="370">
        <f ca="1">IF(I455&gt;0,J455*100/I455,0)</f>
        <v>100</v>
      </c>
      <c r="L455" s="371">
        <f ca="1">IFERROR(__xludf.DUMMYFUNCTION("IMPORTRANGE(""https://docs.google.com/spreadsheets/d/11923uPwbBZFjjGgGUA6NLw09EwE0CqkOc4q9oUmW1yo/edit?usp=sharing"",""แม่ฮ่องสอน!L350"")"),96393)</f>
        <v>96393</v>
      </c>
      <c r="M455" s="371"/>
      <c r="N455" s="371">
        <f ca="1">IFERROR(__xludf.DUMMYFUNCTION("IMPORTRANGE(""https://docs.google.com/spreadsheets/d/11923uPwbBZFjjGgGUA6NLw09EwE0CqkOc4q9oUmW1yo/edit?usp=sharing"",""แม่ฮ่องสอน!M350"")"),40595)</f>
        <v>40595</v>
      </c>
      <c r="O455" s="371">
        <f t="shared" ref="O455:O459" ca="1" si="116">+IF(L455&gt;0,N455*100/L455,0)</f>
        <v>42.114053925077549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IFERROR(__xludf.DUMMYFUNCTION("IMPORTRANGE(""https://docs.google.com/spreadsheets/d/11923uPwbBZFjjGgGUA6NLw09EwE0CqkOc4q9oUmW1yo/edit?usp=sharing"",""แม่ฮ่องสอน!L351"")"),0)</f>
        <v>0</v>
      </c>
      <c r="M456" s="164"/>
      <c r="N456" s="168">
        <f ca="1">IFERROR(__xludf.DUMMYFUNCTION("IMPORTRANGE(""https://docs.google.com/spreadsheets/d/11923uPwbBZFjjGgGUA6NLw09EwE0CqkOc4q9oUmW1yo/edit?usp=sharing"",""แม่ฮ่องสอน!M351"")"),0)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IFERROR(__xludf.DUMMYFUNCTION("IMPORTRANGE(""https://docs.google.com/spreadsheets/d/11923uPwbBZFjjGgGUA6NLw09EwE0CqkOc4q9oUmW1yo/edit?usp=sharing"",""แม่ฮ่องสอน!L352"")"),96393)</f>
        <v>96393</v>
      </c>
      <c r="M457" s="165"/>
      <c r="N457" s="168">
        <f ca="1">IFERROR(__xludf.DUMMYFUNCTION("IMPORTRANGE(""https://docs.google.com/spreadsheets/d/11923uPwbBZFjjGgGUA6NLw09EwE0CqkOc4q9oUmW1yo/edit?usp=sharing"",""แม่ฮ่องสอน!M352"")"),40595)</f>
        <v>40595</v>
      </c>
      <c r="O457" s="168">
        <f t="shared" ca="1" si="116"/>
        <v>42.114053925077549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IFERROR(__xludf.DUMMYFUNCTION("IMPORTRANGE(""https://docs.google.com/spreadsheets/d/11923uPwbBZFjjGgGUA6NLw09EwE0CqkOc4q9oUmW1yo/edit?usp=sharing"",""แม่ฮ่องสอน!L353"")"),0)</f>
        <v>0</v>
      </c>
      <c r="M458" s="168"/>
      <c r="N458" s="168">
        <f ca="1">IFERROR(__xludf.DUMMYFUNCTION("IMPORTRANGE(""https://docs.google.com/spreadsheets/d/11923uPwbBZFjjGgGUA6NLw09EwE0CqkOc4q9oUmW1yo/edit?usp=sharing"",""แม่ฮ่องสอน!M353"")"),0)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IFERROR(__xludf.DUMMYFUNCTION("IMPORTRANGE(""https://docs.google.com/spreadsheets/d/11923uPwbBZFjjGgGUA6NLw09EwE0CqkOc4q9oUmW1yo/edit?usp=sharing"",""แม่ฮ่องสอน!L354"")"),96393)</f>
        <v>96393</v>
      </c>
      <c r="M459" s="168"/>
      <c r="N459" s="168">
        <f ca="1">IFERROR(__xludf.DUMMYFUNCTION("IMPORTRANGE(""https://docs.google.com/spreadsheets/d/11923uPwbBZFjjGgGUA6NLw09EwE0CqkOc4q9oUmW1yo/edit?usp=sharing"",""แม่ฮ่องสอน!M354"")"),40595)</f>
        <v>40595</v>
      </c>
      <c r="O459" s="168">
        <f t="shared" ca="1" si="116"/>
        <v>42.114053925077549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IFERROR(__xludf.DUMMYFUNCTION("IMPORTRANGE(""https://docs.google.com/spreadsheets/d/11923uPwbBZFjjGgGUA6NLw09EwE0CqkOc4q9oUmW1yo/edit?usp=sharing"",""แม่ฮ่องสอน!M355"")"),0)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IFERROR(__xludf.DUMMYFUNCTION("IMPORTRANGE(""https://docs.google.com/spreadsheets/d/11923uPwbBZFjjGgGUA6NLw09EwE0CqkOc4q9oUmW1yo/edit?usp=sharing"",""แม่ฮ่องสอน!M356"")"),0)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IFERROR(__xludf.DUMMYFUNCTION("IMPORTRANGE(""https://docs.google.com/spreadsheets/d/11923uPwbBZFjjGgGUA6NLw09EwE0CqkOc4q9oUmW1yo/edit?usp=sharing"",""แม่ฮ่องสอน!M357"")"),0)</f>
        <v>0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IFERROR(__xludf.DUMMYFUNCTION("IMPORTRANGE(""https://docs.google.com/spreadsheets/d/11923uPwbBZFjjGgGUA6NLw09EwE0CqkOc4q9oUmW1yo/edit?usp=sharing"",""แม่ฮ่องสอน!M358"")"),40595)</f>
        <v>40595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IFERROR(__xludf.DUMMYFUNCTION("IMPORTRANGE(""https://docs.google.com/spreadsheets/d/11923uPwbBZFjjGgGUA6NLw09EwE0CqkOc4q9oUmW1yo/edit?usp=sharing"",""แม่ฮ่องสอน!I359"")"),4665)</f>
        <v>4665</v>
      </c>
      <c r="J464" s="266">
        <f ca="1">IFERROR(__xludf.DUMMYFUNCTION("IMPORTRANGE(""https://docs.google.com/spreadsheets/d/11923uPwbBZFjjGgGUA6NLw09EwE0CqkOc4q9oUmW1yo/edit?usp=sharing"",""แม่ฮ่องสอน!J359"")"),4665)</f>
        <v>4665</v>
      </c>
      <c r="K464" s="267">
        <f t="shared" ref="K464:K515" ca="1" si="117">IF(I464&gt;0,J464*100/I464,0)</f>
        <v>100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IFERROR(__xludf.DUMMYFUNCTION("IMPORTRANGE(""https://docs.google.com/spreadsheets/d/11923uPwbBZFjjGgGUA6NLw09EwE0CqkOc4q9oUmW1yo/edit?usp=sharing"",""แม่ฮ่องสอน!I360"")"),4665)</f>
        <v>4665</v>
      </c>
      <c r="J465" s="418">
        <f ca="1">IFERROR(__xludf.DUMMYFUNCTION("IMPORTRANGE(""https://docs.google.com/spreadsheets/d/11923uPwbBZFjjGgGUA6NLw09EwE0CqkOc4q9oUmW1yo/edit?usp=sharing"",""แม่ฮ่องสอน!J360"")"),4665)</f>
        <v>4665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IFERROR(__xludf.DUMMYFUNCTION("IMPORTRANGE(""https://docs.google.com/spreadsheets/d/11923uPwbBZFjjGgGUA6NLw09EwE0CqkOc4q9oUmW1yo/edit?usp=sharing"",""แม่ฮ่องสอน!I361"")"),1134)</f>
        <v>1134</v>
      </c>
      <c r="J466" s="418">
        <f ca="1">IFERROR(__xludf.DUMMYFUNCTION("IMPORTRANGE(""https://docs.google.com/spreadsheets/d/11923uPwbBZFjjGgGUA6NLw09EwE0CqkOc4q9oUmW1yo/edit?usp=sharing"",""แม่ฮ่องสอน!J361"")"),1134)</f>
        <v>1134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IFERROR(__xludf.DUMMYFUNCTION("IMPORTRANGE(""https://docs.google.com/spreadsheets/d/11923uPwbBZFjjGgGUA6NLw09EwE0CqkOc4q9oUmW1yo/edit?usp=sharing"",""แม่ฮ่องสอน!I362"")"),0)</f>
        <v>0</v>
      </c>
      <c r="J467" s="188">
        <f ca="1">IFERROR(__xludf.DUMMYFUNCTION("IMPORTRANGE(""https://docs.google.com/spreadsheets/d/11923uPwbBZFjjGgGUA6NLw09EwE0CqkOc4q9oUmW1yo/edit?usp=sharing"",""แม่ฮ่องสอน!J362"")"),4581)</f>
        <v>4581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IFERROR(__xludf.DUMMYFUNCTION("IMPORTRANGE(""https://docs.google.com/spreadsheets/d/11923uPwbBZFjjGgGUA6NLw09EwE0CqkOc4q9oUmW1yo/edit?usp=sharing"",""แม่ฮ่องสอน!I363"")"),0)</f>
        <v>0</v>
      </c>
      <c r="J468" s="188">
        <f ca="1">IFERROR(__xludf.DUMMYFUNCTION("IMPORTRANGE(""https://docs.google.com/spreadsheets/d/11923uPwbBZFjjGgGUA6NLw09EwE0CqkOc4q9oUmW1yo/edit?usp=sharing"",""แม่ฮ่องสอน!J363"")"),1123)</f>
        <v>1123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IFERROR(__xludf.DUMMYFUNCTION("IMPORTRANGE(""https://docs.google.com/spreadsheets/d/11923uPwbBZFjjGgGUA6NLw09EwE0CqkOc4q9oUmW1yo/edit?usp=sharing"",""แม่ฮ่องสอน!I364"")"),0)</f>
        <v>0</v>
      </c>
      <c r="J469" s="188">
        <f ca="1">IFERROR(__xludf.DUMMYFUNCTION("IMPORTRANGE(""https://docs.google.com/spreadsheets/d/11923uPwbBZFjjGgGUA6NLw09EwE0CqkOc4q9oUmW1yo/edit?usp=sharing"",""แม่ฮ่องสอน!J364"")"),66)</f>
        <v>66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IFERROR(__xludf.DUMMYFUNCTION("IMPORTRANGE(""https://docs.google.com/spreadsheets/d/11923uPwbBZFjjGgGUA6NLw09EwE0CqkOc4q9oUmW1yo/edit?usp=sharing"",""แม่ฮ่องสอน!I365"")"),0)</f>
        <v>0</v>
      </c>
      <c r="J470" s="188">
        <f ca="1">IFERROR(__xludf.DUMMYFUNCTION("IMPORTRANGE(""https://docs.google.com/spreadsheets/d/11923uPwbBZFjjGgGUA6NLw09EwE0CqkOc4q9oUmW1yo/edit?usp=sharing"",""แม่ฮ่องสอน!J365"")"),7)</f>
        <v>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IFERROR(__xludf.DUMMYFUNCTION("IMPORTRANGE(""https://docs.google.com/spreadsheets/d/11923uPwbBZFjjGgGUA6NLw09EwE0CqkOc4q9oUmW1yo/edit?usp=sharing"",""แม่ฮ่องสอน!I366"")"),0)</f>
        <v>0</v>
      </c>
      <c r="J471" s="188">
        <f ca="1">IFERROR(__xludf.DUMMYFUNCTION("IMPORTRANGE(""https://docs.google.com/spreadsheets/d/11923uPwbBZFjjGgGUA6NLw09EwE0CqkOc4q9oUmW1yo/edit?usp=sharing"",""แม่ฮ่องสอน!J366"")"),18)</f>
        <v>18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IFERROR(__xludf.DUMMYFUNCTION("IMPORTRANGE(""https://docs.google.com/spreadsheets/d/11923uPwbBZFjjGgGUA6NLw09EwE0CqkOc4q9oUmW1yo/edit?usp=sharing"",""แม่ฮ่องสอน!I367"")"),0)</f>
        <v>0</v>
      </c>
      <c r="J472" s="188">
        <f ca="1">IFERROR(__xludf.DUMMYFUNCTION("IMPORTRANGE(""https://docs.google.com/spreadsheets/d/11923uPwbBZFjjGgGUA6NLw09EwE0CqkOc4q9oUmW1yo/edit?usp=sharing"",""แม่ฮ่องสอน!J367"")"),4)</f>
        <v>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IFERROR(__xludf.DUMMYFUNCTION("IMPORTRANGE(""https://docs.google.com/spreadsheets/d/11923uPwbBZFjjGgGUA6NLw09EwE0CqkOc4q9oUmW1yo/edit?usp=sharing"",""แม่ฮ่องสอน!I368"")"),4665)</f>
        <v>4665</v>
      </c>
      <c r="J473" s="418">
        <f ca="1">IFERROR(__xludf.DUMMYFUNCTION("IMPORTRANGE(""https://docs.google.com/spreadsheets/d/11923uPwbBZFjjGgGUA6NLw09EwE0CqkOc4q9oUmW1yo/edit?usp=sharing"",""แม่ฮ่องสอน!J368"")"),4665)</f>
        <v>4665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IFERROR(__xludf.DUMMYFUNCTION("IMPORTRANGE(""https://docs.google.com/spreadsheets/d/11923uPwbBZFjjGgGUA6NLw09EwE0CqkOc4q9oUmW1yo/edit?usp=sharing"",""แม่ฮ่องสอน!I369"")"),1134)</f>
        <v>1134</v>
      </c>
      <c r="J474" s="418">
        <f ca="1">IFERROR(__xludf.DUMMYFUNCTION("IMPORTRANGE(""https://docs.google.com/spreadsheets/d/11923uPwbBZFjjGgGUA6NLw09EwE0CqkOc4q9oUmW1yo/edit?usp=sharing"",""แม่ฮ่องสอน!J369"")"),1134)</f>
        <v>1134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IFERROR(__xludf.DUMMYFUNCTION("IMPORTRANGE(""https://docs.google.com/spreadsheets/d/11923uPwbBZFjjGgGUA6NLw09EwE0CqkOc4q9oUmW1yo/edit?usp=sharing"",""แม่ฮ่องสอน!I370"")"),0)</f>
        <v>0</v>
      </c>
      <c r="J475" s="188">
        <f ca="1">IFERROR(__xludf.DUMMYFUNCTION("IMPORTRANGE(""https://docs.google.com/spreadsheets/d/11923uPwbBZFjjGgGUA6NLw09EwE0CqkOc4q9oUmW1yo/edit?usp=sharing"",""แม่ฮ่องสอน!J370"")"),4634)</f>
        <v>4634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IFERROR(__xludf.DUMMYFUNCTION("IMPORTRANGE(""https://docs.google.com/spreadsheets/d/11923uPwbBZFjjGgGUA6NLw09EwE0CqkOc4q9oUmW1yo/edit?usp=sharing"",""แม่ฮ่องสอน!I371"")"),0)</f>
        <v>0</v>
      </c>
      <c r="J476" s="188">
        <f ca="1">IFERROR(__xludf.DUMMYFUNCTION("IMPORTRANGE(""https://docs.google.com/spreadsheets/d/11923uPwbBZFjjGgGUA6NLw09EwE0CqkOc4q9oUmW1yo/edit?usp=sharing"",""แม่ฮ่องสอน!J371"")"),1122)</f>
        <v>1122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IFERROR(__xludf.DUMMYFUNCTION("IMPORTRANGE(""https://docs.google.com/spreadsheets/d/11923uPwbBZFjjGgGUA6NLw09EwE0CqkOc4q9oUmW1yo/edit?usp=sharing"",""แม่ฮ่องสอน!I372"")"),0)</f>
        <v>0</v>
      </c>
      <c r="J477" s="188">
        <f ca="1">IFERROR(__xludf.DUMMYFUNCTION("IMPORTRANGE(""https://docs.google.com/spreadsheets/d/11923uPwbBZFjjGgGUA6NLw09EwE0CqkOc4q9oUmW1yo/edit?usp=sharing"",""แม่ฮ่องสอน!J372"")"),13)</f>
        <v>13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IFERROR(__xludf.DUMMYFUNCTION("IMPORTRANGE(""https://docs.google.com/spreadsheets/d/11923uPwbBZFjjGgGUA6NLw09EwE0CqkOc4q9oUmW1yo/edit?usp=sharing"",""แม่ฮ่องสอน!I373"")"),0)</f>
        <v>0</v>
      </c>
      <c r="J478" s="188">
        <f ca="1">IFERROR(__xludf.DUMMYFUNCTION("IMPORTRANGE(""https://docs.google.com/spreadsheets/d/11923uPwbBZFjjGgGUA6NLw09EwE0CqkOc4q9oUmW1yo/edit?usp=sharing"",""แม่ฮ่องสอน!J373"")"),8)</f>
        <v>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IFERROR(__xludf.DUMMYFUNCTION("IMPORTRANGE(""https://docs.google.com/spreadsheets/d/11923uPwbBZFjjGgGUA6NLw09EwE0CqkOc4q9oUmW1yo/edit?usp=sharing"",""แม่ฮ่องสอน!I374"")"),0)</f>
        <v>0</v>
      </c>
      <c r="J479" s="188">
        <f ca="1">IFERROR(__xludf.DUMMYFUNCTION("IMPORTRANGE(""https://docs.google.com/spreadsheets/d/11923uPwbBZFjjGgGUA6NLw09EwE0CqkOc4q9oUmW1yo/edit?usp=sharing"",""แม่ฮ่องสอน!J374"")"),18)</f>
        <v>18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IFERROR(__xludf.DUMMYFUNCTION("IMPORTRANGE(""https://docs.google.com/spreadsheets/d/11923uPwbBZFjjGgGUA6NLw09EwE0CqkOc4q9oUmW1yo/edit?usp=sharing"",""แม่ฮ่องสอน!I375"")"),0)</f>
        <v>0</v>
      </c>
      <c r="J480" s="188">
        <f ca="1">IFERROR(__xludf.DUMMYFUNCTION("IMPORTRANGE(""https://docs.google.com/spreadsheets/d/11923uPwbBZFjjGgGUA6NLw09EwE0CqkOc4q9oUmW1yo/edit?usp=sharing"",""แม่ฮ่องสอน!J375"")"),4)</f>
        <v>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IFERROR(__xludf.DUMMYFUNCTION("IMPORTRANGE(""https://docs.google.com/spreadsheets/d/11923uPwbBZFjjGgGUA6NLw09EwE0CqkOc4q9oUmW1yo/edit?usp=sharing"",""แม่ฮ่องสอน!I376"")"),4665)</f>
        <v>4665</v>
      </c>
      <c r="J481" s="418">
        <f ca="1">IFERROR(__xludf.DUMMYFUNCTION("IMPORTRANGE(""https://docs.google.com/spreadsheets/d/11923uPwbBZFjjGgGUA6NLw09EwE0CqkOc4q9oUmW1yo/edit?usp=sharing"",""แม่ฮ่องสอน!J376"")"),4665)</f>
        <v>4665</v>
      </c>
      <c r="K481" s="201">
        <f t="shared" ca="1" si="117"/>
        <v>100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IFERROR(__xludf.DUMMYFUNCTION("IMPORTRANGE(""https://docs.google.com/spreadsheets/d/11923uPwbBZFjjGgGUA6NLw09EwE0CqkOc4q9oUmW1yo/edit?usp=sharing"",""แม่ฮ่องสอน!I377"")"),1134)</f>
        <v>1134</v>
      </c>
      <c r="J482" s="418">
        <f ca="1">IFERROR(__xludf.DUMMYFUNCTION("IMPORTRANGE(""https://docs.google.com/spreadsheets/d/11923uPwbBZFjjGgGUA6NLw09EwE0CqkOc4q9oUmW1yo/edit?usp=sharing"",""แม่ฮ่องสอน!J377"")"),1134)</f>
        <v>1134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IFERROR(__xludf.DUMMYFUNCTION("IMPORTRANGE(""https://docs.google.com/spreadsheets/d/11923uPwbBZFjjGgGUA6NLw09EwE0CqkOc4q9oUmW1yo/edit?usp=sharing"",""แม่ฮ่องสอน!I378"")"),0)</f>
        <v>0</v>
      </c>
      <c r="J483" s="188">
        <f ca="1">IFERROR(__xludf.DUMMYFUNCTION("IMPORTRANGE(""https://docs.google.com/spreadsheets/d/11923uPwbBZFjjGgGUA6NLw09EwE0CqkOc4q9oUmW1yo/edit?usp=sharing"",""แม่ฮ่องสอน!J378"")"),4634)</f>
        <v>4634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IFERROR(__xludf.DUMMYFUNCTION("IMPORTRANGE(""https://docs.google.com/spreadsheets/d/11923uPwbBZFjjGgGUA6NLw09EwE0CqkOc4q9oUmW1yo/edit?usp=sharing"",""แม่ฮ่องสอน!I379"")"),0)</f>
        <v>0</v>
      </c>
      <c r="J484" s="188">
        <f ca="1">IFERROR(__xludf.DUMMYFUNCTION("IMPORTRANGE(""https://docs.google.com/spreadsheets/d/11923uPwbBZFjjGgGUA6NLw09EwE0CqkOc4q9oUmW1yo/edit?usp=sharing"",""แม่ฮ่องสอน!J379"")"),1122)</f>
        <v>1122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IFERROR(__xludf.DUMMYFUNCTION("IMPORTRANGE(""https://docs.google.com/spreadsheets/d/11923uPwbBZFjjGgGUA6NLw09EwE0CqkOc4q9oUmW1yo/edit?usp=sharing"",""แม่ฮ่องสอน!I380"")"),0)</f>
        <v>0</v>
      </c>
      <c r="J485" s="188">
        <f ca="1">IFERROR(__xludf.DUMMYFUNCTION("IMPORTRANGE(""https://docs.google.com/spreadsheets/d/11923uPwbBZFjjGgGUA6NLw09EwE0CqkOc4q9oUmW1yo/edit?usp=sharing"",""แม่ฮ่องสอน!J380"")"),13)</f>
        <v>13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IFERROR(__xludf.DUMMYFUNCTION("IMPORTRANGE(""https://docs.google.com/spreadsheets/d/11923uPwbBZFjjGgGUA6NLw09EwE0CqkOc4q9oUmW1yo/edit?usp=sharing"",""แม่ฮ่องสอน!I381"")"),0)</f>
        <v>0</v>
      </c>
      <c r="J486" s="188">
        <f ca="1">IFERROR(__xludf.DUMMYFUNCTION("IMPORTRANGE(""https://docs.google.com/spreadsheets/d/11923uPwbBZFjjGgGUA6NLw09EwE0CqkOc4q9oUmW1yo/edit?usp=sharing"",""แม่ฮ่องสอน!J381"")"),8)</f>
        <v>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IFERROR(__xludf.DUMMYFUNCTION("IMPORTRANGE(""https://docs.google.com/spreadsheets/d/11923uPwbBZFjjGgGUA6NLw09EwE0CqkOc4q9oUmW1yo/edit?usp=sharing"",""แม่ฮ่องสอน!I382"")"),0)</f>
        <v>0</v>
      </c>
      <c r="J487" s="418">
        <f ca="1">IFERROR(__xludf.DUMMYFUNCTION("IMPORTRANGE(""https://docs.google.com/spreadsheets/d/11923uPwbBZFjjGgGUA6NLw09EwE0CqkOc4q9oUmW1yo/edit?usp=sharing"",""แม่ฮ่องสอน!J382"")"),18)</f>
        <v>18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IFERROR(__xludf.DUMMYFUNCTION("IMPORTRANGE(""https://docs.google.com/spreadsheets/d/11923uPwbBZFjjGgGUA6NLw09EwE0CqkOc4q9oUmW1yo/edit?usp=sharing"",""แม่ฮ่องสอน!I383"")"),0)</f>
        <v>0</v>
      </c>
      <c r="J488" s="418">
        <f ca="1">IFERROR(__xludf.DUMMYFUNCTION("IMPORTRANGE(""https://docs.google.com/spreadsheets/d/11923uPwbBZFjjGgGUA6NLw09EwE0CqkOc4q9oUmW1yo/edit?usp=sharing"",""แม่ฮ่องสอน!J383"")"),4)</f>
        <v>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IFERROR(__xludf.DUMMYFUNCTION("IMPORTRANGE(""https://docs.google.com/spreadsheets/d/11923uPwbBZFjjGgGUA6NLw09EwE0CqkOc4q9oUmW1yo/edit?usp=sharing"",""แม่ฮ่องสอน!I384"")"),0)</f>
        <v>0</v>
      </c>
      <c r="J489" s="188">
        <f ca="1">IFERROR(__xludf.DUMMYFUNCTION("IMPORTRANGE(""https://docs.google.com/spreadsheets/d/11923uPwbBZFjjGgGUA6NLw09EwE0CqkOc4q9oUmW1yo/edit?usp=sharing"",""แม่ฮ่องสอน!J384"")"),18)</f>
        <v>18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IFERROR(__xludf.DUMMYFUNCTION("IMPORTRANGE(""https://docs.google.com/spreadsheets/d/11923uPwbBZFjjGgGUA6NLw09EwE0CqkOc4q9oUmW1yo/edit?usp=sharing"",""แม่ฮ่องสอน!I385"")"),0)</f>
        <v>0</v>
      </c>
      <c r="J490" s="188">
        <f ca="1">IFERROR(__xludf.DUMMYFUNCTION("IMPORTRANGE(""https://docs.google.com/spreadsheets/d/11923uPwbBZFjjGgGUA6NLw09EwE0CqkOc4q9oUmW1yo/edit?usp=sharing"",""แม่ฮ่องสอน!J385"")"),4)</f>
        <v>4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IFERROR(__xludf.DUMMYFUNCTION("IMPORTRANGE(""https://docs.google.com/spreadsheets/d/11923uPwbBZFjjGgGUA6NLw09EwE0CqkOc4q9oUmW1yo/edit?usp=sharing"",""แม่ฮ่องสอน!I386"")"),0)</f>
        <v>0</v>
      </c>
      <c r="J491" s="188">
        <f ca="1">IFERROR(__xludf.DUMMYFUNCTION("IMPORTRANGE(""https://docs.google.com/spreadsheets/d/11923uPwbBZFjjGgGUA6NLw09EwE0CqkOc4q9oUmW1yo/edit?usp=sharing"",""แม่ฮ่องสอน!J386"")"),0)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IFERROR(__xludf.DUMMYFUNCTION("IMPORTRANGE(""https://docs.google.com/spreadsheets/d/11923uPwbBZFjjGgGUA6NLw09EwE0CqkOc4q9oUmW1yo/edit?usp=sharing"",""แม่ฮ่องสอน!I387"")"),0)</f>
        <v>0</v>
      </c>
      <c r="J492" s="188">
        <f ca="1">IFERROR(__xludf.DUMMYFUNCTION("IMPORTRANGE(""https://docs.google.com/spreadsheets/d/11923uPwbBZFjjGgGUA6NLw09EwE0CqkOc4q9oUmW1yo/edit?usp=sharing"",""แม่ฮ่องสอน!J387"")"),0)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IFERROR(__xludf.DUMMYFUNCTION("IMPORTRANGE(""https://docs.google.com/spreadsheets/d/11923uPwbBZFjjGgGUA6NLw09EwE0CqkOc4q9oUmW1yo/edit?usp=sharing"",""แม่ฮ่องสอน!I388"")"),0)</f>
        <v>0</v>
      </c>
      <c r="J493" s="188">
        <f ca="1">IFERROR(__xludf.DUMMYFUNCTION("IMPORTRANGE(""https://docs.google.com/spreadsheets/d/11923uPwbBZFjjGgGUA6NLw09EwE0CqkOc4q9oUmW1yo/edit?usp=sharing"",""แม่ฮ่องสอน!J388"")"),0)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IFERROR(__xludf.DUMMYFUNCTION("IMPORTRANGE(""https://docs.google.com/spreadsheets/d/11923uPwbBZFjjGgGUA6NLw09EwE0CqkOc4q9oUmW1yo/edit?usp=sharing"",""แม่ฮ่องสอน!I389"")"),0)</f>
        <v>0</v>
      </c>
      <c r="J494" s="434">
        <f ca="1">IFERROR(__xludf.DUMMYFUNCTION("IMPORTRANGE(""https://docs.google.com/spreadsheets/d/11923uPwbBZFjjGgGUA6NLw09EwE0CqkOc4q9oUmW1yo/edit?usp=sharing"",""แม่ฮ่องสอน!J389"")"),0)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IFERROR(__xludf.DUMMYFUNCTION("IMPORTRANGE(""https://docs.google.com/spreadsheets/d/11923uPwbBZFjjGgGUA6NLw09EwE0CqkOc4q9oUmW1yo/edit?usp=sharing"",""แม่ฮ่องสอน!I390"")"),0)</f>
        <v>0</v>
      </c>
      <c r="J495" s="434">
        <f ca="1">IFERROR(__xludf.DUMMYFUNCTION("IMPORTRANGE(""https://docs.google.com/spreadsheets/d/11923uPwbBZFjjGgGUA6NLw09EwE0CqkOc4q9oUmW1yo/edit?usp=sharing"",""แม่ฮ่องสอน!J390"")"),0)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IFERROR(__xludf.DUMMYFUNCTION("IMPORTRANGE(""https://docs.google.com/spreadsheets/d/11923uPwbBZFjjGgGUA6NLw09EwE0CqkOc4q9oUmW1yo/edit?usp=sharing"",""แม่ฮ่องสอน!I391"")"),0)</f>
        <v>0</v>
      </c>
      <c r="J496" s="434">
        <f ca="1">IFERROR(__xludf.DUMMYFUNCTION("IMPORTRANGE(""https://docs.google.com/spreadsheets/d/11923uPwbBZFjjGgGUA6NLw09EwE0CqkOc4q9oUmW1yo/edit?usp=sharing"",""แม่ฮ่องสอน!J391"")"),0)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IFERROR(__xludf.DUMMYFUNCTION("IMPORTRANGE(""https://docs.google.com/spreadsheets/d/11923uPwbBZFjjGgGUA6NLw09EwE0CqkOc4q9oUmW1yo/edit?usp=sharing"",""แม่ฮ่องสอน!I392"")"),21)</f>
        <v>21</v>
      </c>
      <c r="J497" s="441">
        <f ca="1">IFERROR(__xludf.DUMMYFUNCTION("IMPORTRANGE(""https://docs.google.com/spreadsheets/d/11923uPwbBZFjjGgGUA6NLw09EwE0CqkOc4q9oUmW1yo/edit?usp=sharing"",""แม่ฮ่องสอน!J392"")"),21)</f>
        <v>21</v>
      </c>
      <c r="K497" s="442">
        <f t="shared" ca="1" si="117"/>
        <v>100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IFERROR(__xludf.DUMMYFUNCTION("IMPORTRANGE(""https://docs.google.com/spreadsheets/d/11923uPwbBZFjjGgGUA6NLw09EwE0CqkOc4q9oUmW1yo/edit?usp=sharing"",""แม่ฮ่องสอน!I393"")"),21)</f>
        <v>21</v>
      </c>
      <c r="J498" s="418">
        <f ca="1">IFERROR(__xludf.DUMMYFUNCTION("IMPORTRANGE(""https://docs.google.com/spreadsheets/d/11923uPwbBZFjjGgGUA6NLw09EwE0CqkOc4q9oUmW1yo/edit?usp=sharing"",""แม่ฮ่องสอน!J393"")"),21)</f>
        <v>21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IFERROR(__xludf.DUMMYFUNCTION("IMPORTRANGE(""https://docs.google.com/spreadsheets/d/11923uPwbBZFjjGgGUA6NLw09EwE0CqkOc4q9oUmW1yo/edit?usp=sharing"",""แม่ฮ่องสอน!I394"")"),7)</f>
        <v>7</v>
      </c>
      <c r="J499" s="418">
        <f ca="1">IFERROR(__xludf.DUMMYFUNCTION("IMPORTRANGE(""https://docs.google.com/spreadsheets/d/11923uPwbBZFjjGgGUA6NLw09EwE0CqkOc4q9oUmW1yo/edit?usp=sharing"",""แม่ฮ่องสอน!J394"")"),7)</f>
        <v>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IFERROR(__xludf.DUMMYFUNCTION("IMPORTRANGE(""https://docs.google.com/spreadsheets/d/11923uPwbBZFjjGgGUA6NLw09EwE0CqkOc4q9oUmW1yo/edit?usp=sharing"",""แม่ฮ่องสอน!I395"")"),0)</f>
        <v>0</v>
      </c>
      <c r="J500" s="162">
        <f ca="1">IFERROR(__xludf.DUMMYFUNCTION("IMPORTRANGE(""https://docs.google.com/spreadsheets/d/11923uPwbBZFjjGgGUA6NLw09EwE0CqkOc4q9oUmW1yo/edit?usp=sharing"",""แม่ฮ่องสอน!J395"")"),16)</f>
        <v>16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IFERROR(__xludf.DUMMYFUNCTION("IMPORTRANGE(""https://docs.google.com/spreadsheets/d/11923uPwbBZFjjGgGUA6NLw09EwE0CqkOc4q9oUmW1yo/edit?usp=sharing"",""แม่ฮ่องสอน!I396"")"),0)</f>
        <v>0</v>
      </c>
      <c r="J501" s="162">
        <f ca="1">IFERROR(__xludf.DUMMYFUNCTION("IMPORTRANGE(""https://docs.google.com/spreadsheets/d/11923uPwbBZFjjGgGUA6NLw09EwE0CqkOc4q9oUmW1yo/edit?usp=sharing"",""แม่ฮ่องสอน!J396"")"),4)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IFERROR(__xludf.DUMMYFUNCTION("IMPORTRANGE(""https://docs.google.com/spreadsheets/d/11923uPwbBZFjjGgGUA6NLw09EwE0CqkOc4q9oUmW1yo/edit?usp=sharing"",""แม่ฮ่องสอน!I397"")"),0)</f>
        <v>0</v>
      </c>
      <c r="J502" s="188">
        <f ca="1">IFERROR(__xludf.DUMMYFUNCTION("IMPORTRANGE(""https://docs.google.com/spreadsheets/d/11923uPwbBZFjjGgGUA6NLw09EwE0CqkOc4q9oUmW1yo/edit?usp=sharing"",""แม่ฮ่องสอน!J397"")"),4)</f>
        <v>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IFERROR(__xludf.DUMMYFUNCTION("IMPORTRANGE(""https://docs.google.com/spreadsheets/d/11923uPwbBZFjjGgGUA6NLw09EwE0CqkOc4q9oUmW1yo/edit?usp=sharing"",""แม่ฮ่องสอน!I398"")"),0)</f>
        <v>0</v>
      </c>
      <c r="J503" s="197">
        <f ca="1">IFERROR(__xludf.DUMMYFUNCTION("IMPORTRANGE(""https://docs.google.com/spreadsheets/d/11923uPwbBZFjjGgGUA6NLw09EwE0CqkOc4q9oUmW1yo/edit?usp=sharing"",""แม่ฮ่องสอน!J398"")"),1)</f>
        <v>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IFERROR(__xludf.DUMMYFUNCTION("IMPORTRANGE(""https://docs.google.com/spreadsheets/d/11923uPwbBZFjjGgGUA6NLw09EwE0CqkOc4q9oUmW1yo/edit?usp=sharing"",""แม่ฮ่องสอน!I399"")"),0)</f>
        <v>0</v>
      </c>
      <c r="J504" s="188">
        <f ca="1">IFERROR(__xludf.DUMMYFUNCTION("IMPORTRANGE(""https://docs.google.com/spreadsheets/d/11923uPwbBZFjjGgGUA6NLw09EwE0CqkOc4q9oUmW1yo/edit?usp=sharing"",""แม่ฮ่องสอน!J399"")"),12)</f>
        <v>12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IFERROR(__xludf.DUMMYFUNCTION("IMPORTRANGE(""https://docs.google.com/spreadsheets/d/11923uPwbBZFjjGgGUA6NLw09EwE0CqkOc4q9oUmW1yo/edit?usp=sharing"",""แม่ฮ่องสอน!I400"")"),0)</f>
        <v>0</v>
      </c>
      <c r="J505" s="197">
        <f ca="1">IFERROR(__xludf.DUMMYFUNCTION("IMPORTRANGE(""https://docs.google.com/spreadsheets/d/11923uPwbBZFjjGgGUA6NLw09EwE0CqkOc4q9oUmW1yo/edit?usp=sharing"",""แม่ฮ่องสอน!J400"")"),3)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IFERROR(__xludf.DUMMYFUNCTION("IMPORTRANGE(""https://docs.google.com/spreadsheets/d/11923uPwbBZFjjGgGUA6NLw09EwE0CqkOc4q9oUmW1yo/edit?usp=sharing"",""แม่ฮ่องสอน!I401"")"),0)</f>
        <v>0</v>
      </c>
      <c r="J506" s="188">
        <f ca="1">IFERROR(__xludf.DUMMYFUNCTION("IMPORTRANGE(""https://docs.google.com/spreadsheets/d/11923uPwbBZFjjGgGUA6NLw09EwE0CqkOc4q9oUmW1yo/edit?usp=sharing"",""แม่ฮ่องสอน!J401"")"),0)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IFERROR(__xludf.DUMMYFUNCTION("IMPORTRANGE(""https://docs.google.com/spreadsheets/d/11923uPwbBZFjjGgGUA6NLw09EwE0CqkOc4q9oUmW1yo/edit?usp=sharing"",""แม่ฮ่องสอน!I402"")"),0)</f>
        <v>0</v>
      </c>
      <c r="J507" s="197">
        <f ca="1">IFERROR(__xludf.DUMMYFUNCTION("IMPORTRANGE(""https://docs.google.com/spreadsheets/d/11923uPwbBZFjjGgGUA6NLw09EwE0CqkOc4q9oUmW1yo/edit?usp=sharing"",""แม่ฮ่องสอน!J402"")"),0)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IFERROR(__xludf.DUMMYFUNCTION("IMPORTRANGE(""https://docs.google.com/spreadsheets/d/11923uPwbBZFjjGgGUA6NLw09EwE0CqkOc4q9oUmW1yo/edit?usp=sharing"",""แม่ฮ่องสอน!I403"")"),0)</f>
        <v>0</v>
      </c>
      <c r="J508" s="162">
        <f ca="1">IFERROR(__xludf.DUMMYFUNCTION("IMPORTRANGE(""https://docs.google.com/spreadsheets/d/11923uPwbBZFjjGgGUA6NLw09EwE0CqkOc4q9oUmW1yo/edit?usp=sharing"",""แม่ฮ่องสอน!J403"")"),5)</f>
        <v>5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IFERROR(__xludf.DUMMYFUNCTION("IMPORTRANGE(""https://docs.google.com/spreadsheets/d/11923uPwbBZFjjGgGUA6NLw09EwE0CqkOc4q9oUmW1yo/edit?usp=sharing"",""แม่ฮ่องสอน!I404"")"),0)</f>
        <v>0</v>
      </c>
      <c r="J509" s="162">
        <f ca="1">IFERROR(__xludf.DUMMYFUNCTION("IMPORTRANGE(""https://docs.google.com/spreadsheets/d/11923uPwbBZFjjGgGUA6NLw09EwE0CqkOc4q9oUmW1yo/edit?usp=sharing"",""แม่ฮ่องสอน!J404"")"),3)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IFERROR(__xludf.DUMMYFUNCTION("IMPORTRANGE(""https://docs.google.com/spreadsheets/d/11923uPwbBZFjjGgGUA6NLw09EwE0CqkOc4q9oUmW1yo/edit?usp=sharing"",""แม่ฮ่องสอน!I405"")"),0)</f>
        <v>0</v>
      </c>
      <c r="J510" s="197">
        <f ca="1">IFERROR(__xludf.DUMMYFUNCTION("IMPORTRANGE(""https://docs.google.com/spreadsheets/d/11923uPwbBZFjjGgGUA6NLw09EwE0CqkOc4q9oUmW1yo/edit?usp=sharing"",""แม่ฮ่องสอน!J405"")"),0)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IFERROR(__xludf.DUMMYFUNCTION("IMPORTRANGE(""https://docs.google.com/spreadsheets/d/11923uPwbBZFjjGgGUA6NLw09EwE0CqkOc4q9oUmW1yo/edit?usp=sharing"",""แม่ฮ่องสอน!I406"")"),0)</f>
        <v>0</v>
      </c>
      <c r="J511" s="197">
        <f ca="1">IFERROR(__xludf.DUMMYFUNCTION("IMPORTRANGE(""https://docs.google.com/spreadsheets/d/11923uPwbBZFjjGgGUA6NLw09EwE0CqkOc4q9oUmW1yo/edit?usp=sharing"",""แม่ฮ่องสอน!J406"")"),0)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IFERROR(__xludf.DUMMYFUNCTION("IMPORTRANGE(""https://docs.google.com/spreadsheets/d/11923uPwbBZFjjGgGUA6NLw09EwE0CqkOc4q9oUmW1yo/edit?usp=sharing"",""แม่ฮ่องสอน!I407"")"),0)</f>
        <v>0</v>
      </c>
      <c r="J512" s="197">
        <f ca="1">IFERROR(__xludf.DUMMYFUNCTION("IMPORTRANGE(""https://docs.google.com/spreadsheets/d/11923uPwbBZFjjGgGUA6NLw09EwE0CqkOc4q9oUmW1yo/edit?usp=sharing"",""แม่ฮ่องสอน!J407"")"),5)</f>
        <v>5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IFERROR(__xludf.DUMMYFUNCTION("IMPORTRANGE(""https://docs.google.com/spreadsheets/d/11923uPwbBZFjjGgGUA6NLw09EwE0CqkOc4q9oUmW1yo/edit?usp=sharing"",""แม่ฮ่องสอน!I408"")"),0)</f>
        <v>0</v>
      </c>
      <c r="J513" s="197">
        <f ca="1">IFERROR(__xludf.DUMMYFUNCTION("IMPORTRANGE(""https://docs.google.com/spreadsheets/d/11923uPwbBZFjjGgGUA6NLw09EwE0CqkOc4q9oUmW1yo/edit?usp=sharing"",""แม่ฮ่องสอน!J408"")"),3)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IFERROR(__xludf.DUMMYFUNCTION("IMPORTRANGE(""https://docs.google.com/spreadsheets/d/11923uPwbBZFjjGgGUA6NLw09EwE0CqkOc4q9oUmW1yo/edit?usp=sharing"",""แม่ฮ่องสอน!I409"")"),0)</f>
        <v>0</v>
      </c>
      <c r="J514" s="197">
        <f ca="1">IFERROR(__xludf.DUMMYFUNCTION("IMPORTRANGE(""https://docs.google.com/spreadsheets/d/11923uPwbBZFjjGgGUA6NLw09EwE0CqkOc4q9oUmW1yo/edit?usp=sharing"",""แม่ฮ่องสอน!J409"")"),0)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IFERROR(__xludf.DUMMYFUNCTION("IMPORTRANGE(""https://docs.google.com/spreadsheets/d/11923uPwbBZFjjGgGUA6NLw09EwE0CqkOc4q9oUmW1yo/edit?usp=sharing"",""แม่ฮ่องสอน!I410"")"),0)</f>
        <v>0</v>
      </c>
      <c r="J515" s="197">
        <f ca="1">IFERROR(__xludf.DUMMYFUNCTION("IMPORTRANGE(""https://docs.google.com/spreadsheets/d/11923uPwbBZFjjGgGUA6NLw09EwE0CqkOc4q9oUmW1yo/edit?usp=sharing"",""แม่ฮ่องสอน!J410"")"),0)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IFERROR(__xludf.DUMMYFUNCTION("IMPORTRANGE(""https://docs.google.com/spreadsheets/d/11923uPwbBZFjjGgGUA6NLw09EwE0CqkOc4q9oUmW1yo/edit?usp=sharing"",""แม่ฮ่องสอน!I411"")"),0)</f>
        <v>0</v>
      </c>
      <c r="J516" s="266">
        <f ca="1">IFERROR(__xludf.DUMMYFUNCTION("IMPORTRANGE(""https://docs.google.com/spreadsheets/d/11923uPwbBZFjjGgGUA6NLw09EwE0CqkOc4q9oUmW1yo/edit?usp=sharing"",""แม่ฮ่องสอน!J411"")"),0)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IFERROR(__xludf.DUMMYFUNCTION("IMPORTRANGE(""https://docs.google.com/spreadsheets/d/11923uPwbBZFjjGgGUA6NLw09EwE0CqkOc4q9oUmW1yo/edit?usp=sharing"",""แม่ฮ่องสอน!I412"")"),0)</f>
        <v>0</v>
      </c>
      <c r="J517" s="282">
        <f ca="1">IFERROR(__xludf.DUMMYFUNCTION("IMPORTRANGE(""https://docs.google.com/spreadsheets/d/11923uPwbBZFjjGgGUA6NLw09EwE0CqkOc4q9oUmW1yo/edit?usp=sharing"",""แม่ฮ่องสอน!J412"")"),0)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IFERROR(__xludf.DUMMYFUNCTION("IMPORTRANGE(""https://docs.google.com/spreadsheets/d/11923uPwbBZFjjGgGUA6NLw09EwE0CqkOc4q9oUmW1yo/edit?usp=sharing"",""แม่ฮ่องสอน!I413"")"),0)</f>
        <v>0</v>
      </c>
      <c r="J518" s="282">
        <f ca="1">IFERROR(__xludf.DUMMYFUNCTION("IMPORTRANGE(""https://docs.google.com/spreadsheets/d/11923uPwbBZFjjGgGUA6NLw09EwE0CqkOc4q9oUmW1yo/edit?usp=sharing"",""แม่ฮ่องสอน!J413"")"),0)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IFERROR(__xludf.DUMMYFUNCTION("IMPORTRANGE(""https://docs.google.com/spreadsheets/d/11923uPwbBZFjjGgGUA6NLw09EwE0CqkOc4q9oUmW1yo/edit?usp=sharing"",""แม่ฮ่องสอน!I414"")"),0)</f>
        <v>0</v>
      </c>
      <c r="J519" s="187">
        <f ca="1">IFERROR(__xludf.DUMMYFUNCTION("IMPORTRANGE(""https://docs.google.com/spreadsheets/d/11923uPwbBZFjjGgGUA6NLw09EwE0CqkOc4q9oUmW1yo/edit?usp=sharing"",""แม่ฮ่องสอน!J414"")"),0)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IFERROR(__xludf.DUMMYFUNCTION("IMPORTRANGE(""https://docs.google.com/spreadsheets/d/11923uPwbBZFjjGgGUA6NLw09EwE0CqkOc4q9oUmW1yo/edit?usp=sharing"",""แม่ฮ่องสอน!I415"")"),0)</f>
        <v>0</v>
      </c>
      <c r="J520" s="187">
        <f ca="1">IFERROR(__xludf.DUMMYFUNCTION("IMPORTRANGE(""https://docs.google.com/spreadsheets/d/11923uPwbBZFjjGgGUA6NLw09EwE0CqkOc4q9oUmW1yo/edit?usp=sharing"",""แม่ฮ่องสอน!J415"")"),0)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IFERROR(__xludf.DUMMYFUNCTION("IMPORTRANGE(""https://docs.google.com/spreadsheets/d/11923uPwbBZFjjGgGUA6NLw09EwE0CqkOc4q9oUmW1yo/edit?usp=sharing"",""แม่ฮ่องสอน!I416"")"),0)</f>
        <v>0</v>
      </c>
      <c r="J521" s="187">
        <f ca="1">IFERROR(__xludf.DUMMYFUNCTION("IMPORTRANGE(""https://docs.google.com/spreadsheets/d/11923uPwbBZFjjGgGUA6NLw09EwE0CqkOc4q9oUmW1yo/edit?usp=sharing"",""แม่ฮ่องสอน!J416"")"),0)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IFERROR(__xludf.DUMMYFUNCTION("IMPORTRANGE(""https://docs.google.com/spreadsheets/d/11923uPwbBZFjjGgGUA6NLw09EwE0CqkOc4q9oUmW1yo/edit?usp=sharing"",""แม่ฮ่องสอน!I417"")"),0)</f>
        <v>0</v>
      </c>
      <c r="J522" s="187">
        <f ca="1">IFERROR(__xludf.DUMMYFUNCTION("IMPORTRANGE(""https://docs.google.com/spreadsheets/d/11923uPwbBZFjjGgGUA6NLw09EwE0CqkOc4q9oUmW1yo/edit?usp=sharing"",""แม่ฮ่องสอน!J417"")"),0)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IFERROR(__xludf.DUMMYFUNCTION("IMPORTRANGE(""https://docs.google.com/spreadsheets/d/11923uPwbBZFjjGgGUA6NLw09EwE0CqkOc4q9oUmW1yo/edit?usp=sharing"",""แม่ฮ่องสอน!I418"")"),0)</f>
        <v>0</v>
      </c>
      <c r="J523" s="187">
        <f ca="1">IFERROR(__xludf.DUMMYFUNCTION("IMPORTRANGE(""https://docs.google.com/spreadsheets/d/11923uPwbBZFjjGgGUA6NLw09EwE0CqkOc4q9oUmW1yo/edit?usp=sharing"",""แม่ฮ่องสอน!J418"")"),24)</f>
        <v>24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IFERROR(__xludf.DUMMYFUNCTION("IMPORTRANGE(""https://docs.google.com/spreadsheets/d/11923uPwbBZFjjGgGUA6NLw09EwE0CqkOc4q9oUmW1yo/edit?usp=sharing"",""แม่ฮ่องสอน!I419"")"),0)</f>
        <v>0</v>
      </c>
      <c r="J524" s="187">
        <f ca="1">IFERROR(__xludf.DUMMYFUNCTION("IMPORTRANGE(""https://docs.google.com/spreadsheets/d/11923uPwbBZFjjGgGUA6NLw09EwE0CqkOc4q9oUmW1yo/edit?usp=sharing"",""แม่ฮ่องสอน!J419"")"),4)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IFERROR(__xludf.DUMMYFUNCTION("IMPORTRANGE(""https://docs.google.com/spreadsheets/d/11923uPwbBZFjjGgGUA6NLw09EwE0CqkOc4q9oUmW1yo/edit?usp=sharing"",""แม่ฮ่องสอน!I420"")"),24)</f>
        <v>24</v>
      </c>
      <c r="J525" s="282">
        <f ca="1">IFERROR(__xludf.DUMMYFUNCTION("IMPORTRANGE(""https://docs.google.com/spreadsheets/d/11923uPwbBZFjjGgGUA6NLw09EwE0CqkOc4q9oUmW1yo/edit?usp=sharing"",""แม่ฮ่องสอน!J420"")"),24)</f>
        <v>24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IFERROR(__xludf.DUMMYFUNCTION("IMPORTRANGE(""https://docs.google.com/spreadsheets/d/11923uPwbBZFjjGgGUA6NLw09EwE0CqkOc4q9oUmW1yo/edit?usp=sharing"",""แม่ฮ่องสอน!I421"")"),4)</f>
        <v>4</v>
      </c>
      <c r="J526" s="282">
        <f ca="1">IFERROR(__xludf.DUMMYFUNCTION("IMPORTRANGE(""https://docs.google.com/spreadsheets/d/11923uPwbBZFjjGgGUA6NLw09EwE0CqkOc4q9oUmW1yo/edit?usp=sharing"",""แม่ฮ่องสอน!J421"")"),4)</f>
        <v>4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IFERROR(__xludf.DUMMYFUNCTION("IMPORTRANGE(""https://docs.google.com/spreadsheets/d/11923uPwbBZFjjGgGUA6NLw09EwE0CqkOc4q9oUmW1yo/edit?usp=sharing"",""แม่ฮ่องสอน!I422"")"),0)</f>
        <v>0</v>
      </c>
      <c r="J527" s="197">
        <f ca="1">IFERROR(__xludf.DUMMYFUNCTION("IMPORTRANGE(""https://docs.google.com/spreadsheets/d/11923uPwbBZFjjGgGUA6NLw09EwE0CqkOc4q9oUmW1yo/edit?usp=sharing"",""แม่ฮ่องสอน!J422"")"),2.75)</f>
        <v>2.75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IFERROR(__xludf.DUMMYFUNCTION("IMPORTRANGE(""https://docs.google.com/spreadsheets/d/11923uPwbBZFjjGgGUA6NLw09EwE0CqkOc4q9oUmW1yo/edit?usp=sharing"",""แม่ฮ่องสอน!I423"")"),0)</f>
        <v>0</v>
      </c>
      <c r="J528" s="197">
        <f ca="1">IFERROR(__xludf.DUMMYFUNCTION("IMPORTRANGE(""https://docs.google.com/spreadsheets/d/11923uPwbBZFjjGgGUA6NLw09EwE0CqkOc4q9oUmW1yo/edit?usp=sharing"",""แม่ฮ่องสอน!J423"")"),1)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IFERROR(__xludf.DUMMYFUNCTION("IMPORTRANGE(""https://docs.google.com/spreadsheets/d/11923uPwbBZFjjGgGUA6NLw09EwE0CqkOc4q9oUmW1yo/edit?usp=sharing"",""แม่ฮ่องสอน!I424"")"),0)</f>
        <v>0</v>
      </c>
      <c r="J529" s="197">
        <f ca="1">IFERROR(__xludf.DUMMYFUNCTION("IMPORTRANGE(""https://docs.google.com/spreadsheets/d/11923uPwbBZFjjGgGUA6NLw09EwE0CqkOc4q9oUmW1yo/edit?usp=sharing"",""แม่ฮ่องสอน!J424"")"),21.25)</f>
        <v>21.25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IFERROR(__xludf.DUMMYFUNCTION("IMPORTRANGE(""https://docs.google.com/spreadsheets/d/11923uPwbBZFjjGgGUA6NLw09EwE0CqkOc4q9oUmW1yo/edit?usp=sharing"",""แม่ฮ่องสอน!I425"")"),0)</f>
        <v>0</v>
      </c>
      <c r="J530" s="197">
        <f ca="1">IFERROR(__xludf.DUMMYFUNCTION("IMPORTRANGE(""https://docs.google.com/spreadsheets/d/11923uPwbBZFjjGgGUA6NLw09EwE0CqkOc4q9oUmW1yo/edit?usp=sharing"",""แม่ฮ่องสอน!J425"")"),3)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IFERROR(__xludf.DUMMYFUNCTION("IMPORTRANGE(""https://docs.google.com/spreadsheets/d/11923uPwbBZFjjGgGUA6NLw09EwE0CqkOc4q9oUmW1yo/edit?usp=sharing"",""แม่ฮ่องสอน!I426"")"),0)</f>
        <v>0</v>
      </c>
      <c r="J531" s="197">
        <f ca="1">IFERROR(__xludf.DUMMYFUNCTION("IMPORTRANGE(""https://docs.google.com/spreadsheets/d/11923uPwbBZFjjGgGUA6NLw09EwE0CqkOc4q9oUmW1yo/edit?usp=sharing"",""แม่ฮ่องสอน!J426"")"),0)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IFERROR(__xludf.DUMMYFUNCTION("IMPORTRANGE(""https://docs.google.com/spreadsheets/d/11923uPwbBZFjjGgGUA6NLw09EwE0CqkOc4q9oUmW1yo/edit?usp=sharing"",""แม่ฮ่องสอน!I427"")"),0)</f>
        <v>0</v>
      </c>
      <c r="J532" s="464">
        <f ca="1">IFERROR(__xludf.DUMMYFUNCTION("IMPORTRANGE(""https://docs.google.com/spreadsheets/d/11923uPwbBZFjjGgGUA6NLw09EwE0CqkOc4q9oUmW1yo/edit?usp=sharing"",""แม่ฮ่องสอน!J427"")"),0)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IFERROR(__xludf.DUMMYFUNCTION("IMPORTRANGE(""https://docs.google.com/spreadsheets/d/11923uPwbBZFjjGgGUA6NLw09EwE0CqkOc4q9oUmW1yo/edit?usp=sharing"",""แม่ฮ่องสอน!I428"")"),22)</f>
        <v>22</v>
      </c>
      <c r="J533" s="408">
        <f ca="1">IFERROR(__xludf.DUMMYFUNCTION("IMPORTRANGE(""https://docs.google.com/spreadsheets/d/11923uPwbBZFjjGgGUA6NLw09EwE0CqkOc4q9oUmW1yo/edit?usp=sharing"",""แม่ฮ่องสอน!J428"")"),22)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IFERROR(__xludf.DUMMYFUNCTION("IMPORTRANGE(""https://docs.google.com/spreadsheets/d/11923uPwbBZFjjGgGUA6NLw09EwE0CqkOc4q9oUmW1yo/edit?usp=sharing"",""แม่ฮ่องสอน!L428"")"),34340)</f>
        <v>34340</v>
      </c>
      <c r="M533" s="410"/>
      <c r="N533" s="410">
        <f ca="1">IFERROR(__xludf.DUMMYFUNCTION("IMPORTRANGE(""https://docs.google.com/spreadsheets/d/11923uPwbBZFjjGgGUA6NLw09EwE0CqkOc4q9oUmW1yo/edit?usp=sharing"",""แม่ฮ่องสอน!M428"")"),27787)</f>
        <v>27787</v>
      </c>
      <c r="O533" s="410">
        <f t="shared" ref="O533:O537" ca="1" si="118">+IF(L533&gt;0,N533*100/L533,0)</f>
        <v>80.917297612114155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IFERROR(__xludf.DUMMYFUNCTION("IMPORTRANGE(""https://docs.google.com/spreadsheets/d/11923uPwbBZFjjGgGUA6NLw09EwE0CqkOc4q9oUmW1yo/edit?usp=sharing"",""แม่ฮ่องสอน!L429"")"),0)</f>
        <v>0</v>
      </c>
      <c r="M534" s="164"/>
      <c r="N534" s="168">
        <f ca="1">IFERROR(__xludf.DUMMYFUNCTION("IMPORTRANGE(""https://docs.google.com/spreadsheets/d/11923uPwbBZFjjGgGUA6NLw09EwE0CqkOc4q9oUmW1yo/edit?usp=sharing"",""แม่ฮ่องสอน!M429"")"),0)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IFERROR(__xludf.DUMMYFUNCTION("IMPORTRANGE(""https://docs.google.com/spreadsheets/d/11923uPwbBZFjjGgGUA6NLw09EwE0CqkOc4q9oUmW1yo/edit?usp=sharing"",""แม่ฮ่องสอน!L430"")"),34340)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IFERROR(__xludf.DUMMYFUNCTION("IMPORTRANGE(""https://docs.google.com/spreadsheets/d/11923uPwbBZFjjGgGUA6NLw09EwE0CqkOc4q9oUmW1yo/edit?usp=sharing"",""แม่ฮ่องสอน!M430"")"),27787)</f>
        <v>27787</v>
      </c>
      <c r="O535" s="168">
        <f t="shared" ca="1" si="118"/>
        <v>80.917297612114155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IFERROR(__xludf.DUMMYFUNCTION("IMPORTRANGE(""https://docs.google.com/spreadsheets/d/11923uPwbBZFjjGgGUA6NLw09EwE0CqkOc4q9oUmW1yo/edit?usp=sharing"",""แม่ฮ่องสอน!L431"")"),0)</f>
        <v>0</v>
      </c>
      <c r="M536" s="168"/>
      <c r="N536" s="168">
        <f ca="1">IFERROR(__xludf.DUMMYFUNCTION("IMPORTRANGE(""https://docs.google.com/spreadsheets/d/11923uPwbBZFjjGgGUA6NLw09EwE0CqkOc4q9oUmW1yo/edit?usp=sharing"",""แม่ฮ่องสอน!M431"")"),0)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IFERROR(__xludf.DUMMYFUNCTION("IMPORTRANGE(""https://docs.google.com/spreadsheets/d/11923uPwbBZFjjGgGUA6NLw09EwE0CqkOc4q9oUmW1yo/edit?usp=sharing"",""แม่ฮ่องสอน!L432"")"),34340)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IFERROR(__xludf.DUMMYFUNCTION("IMPORTRANGE(""https://docs.google.com/spreadsheets/d/11923uPwbBZFjjGgGUA6NLw09EwE0CqkOc4q9oUmW1yo/edit?usp=sharing"",""แม่ฮ่องสอน!M432"")"),27787)</f>
        <v>27787</v>
      </c>
      <c r="O537" s="168">
        <f t="shared" ca="1" si="118"/>
        <v>80.917297612114155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IFERROR(__xludf.DUMMYFUNCTION("IMPORTRANGE(""https://docs.google.com/spreadsheets/d/11923uPwbBZFjjGgGUA6NLw09EwE0CqkOc4q9oUmW1yo/edit?usp=sharing"",""แม่ฮ่องสอน!M433"")"),18740)</f>
        <v>18740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IFERROR(__xludf.DUMMYFUNCTION("IMPORTRANGE(""https://docs.google.com/spreadsheets/d/11923uPwbBZFjjGgGUA6NLw09EwE0CqkOc4q9oUmW1yo/edit?usp=sharing"",""แม่ฮ่องสอน!M434"")"),0)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IFERROR(__xludf.DUMMYFUNCTION("IMPORTRANGE(""https://docs.google.com/spreadsheets/d/11923uPwbBZFjjGgGUA6NLw09EwE0CqkOc4q9oUmW1yo/edit?usp=sharing"",""แม่ฮ่องสอน!M435"")"),0)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IFERROR(__xludf.DUMMYFUNCTION("IMPORTRANGE(""https://docs.google.com/spreadsheets/d/11923uPwbBZFjjGgGUA6NLw09EwE0CqkOc4q9oUmW1yo/edit?usp=sharing"",""แม่ฮ่องสอน!M436"")"),9047)</f>
        <v>9047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IFERROR(__xludf.DUMMYFUNCTION("IMPORTRANGE(""https://docs.google.com/spreadsheets/d/11923uPwbBZFjjGgGUA6NLw09EwE0CqkOc4q9oUmW1yo/edit?usp=sharing"",""แม่ฮ่องสอน!J438"")"),0)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IFERROR(__xludf.DUMMYFUNCTION("IMPORTRANGE(""https://docs.google.com/spreadsheets/d/11923uPwbBZFjjGgGUA6NLw09EwE0CqkOc4q9oUmW1yo/edit?usp=sharing"",""แม่ฮ่องสอน!J439"")"),1)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IFERROR(__xludf.DUMMYFUNCTION("IMPORTRANGE(""https://docs.google.com/spreadsheets/d/11923uPwbBZFjjGgGUA6NLw09EwE0CqkOc4q9oUmW1yo/edit?usp=sharing"",""แม่ฮ่องสอน!J440"")"),1)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IFERROR(__xludf.DUMMYFUNCTION("IMPORTRANGE(""https://docs.google.com/spreadsheets/d/11923uPwbBZFjjGgGUA6NLw09EwE0CqkOc4q9oUmW1yo/edit?usp=sharing"",""แม่ฮ่องสอน!J441"")"),1)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IFERROR(__xludf.DUMMYFUNCTION("IMPORTRANGE(""https://docs.google.com/spreadsheets/d/11923uPwbBZFjjGgGUA6NLw09EwE0CqkOc4q9oUmW1yo/edit?usp=sharing"",""แม่ฮ่องสอน!I442"")"),22)</f>
        <v>22</v>
      </c>
      <c r="J547" s="188">
        <f ca="1">IFERROR(__xludf.DUMMYFUNCTION("IMPORTRANGE(""https://docs.google.com/spreadsheets/d/11923uPwbBZFjjGgGUA6NLw09EwE0CqkOc4q9oUmW1yo/edit?usp=sharing"",""แม่ฮ่องสอน!J442"")"),22)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IFERROR(__xludf.DUMMYFUNCTION("IMPORTRANGE(""https://docs.google.com/spreadsheets/d/11923uPwbBZFjjGgGUA6NLw09EwE0CqkOc4q9oUmW1yo/edit?usp=sharing"",""แม่ฮ่องสอน!J166"")"),0)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IFERROR(__xludf.DUMMYFUNCTION("IMPORTRANGE(""https://docs.google.com/spreadsheets/d/11923uPwbBZFjjGgGUA6NLw09EwE0CqkOc4q9oUmW1yo/edit?usp=sharing"",""แม่ฮ่องสอน!J444"")"),0)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IFERROR(__xludf.DUMMYFUNCTION("IMPORTRANGE(""https://docs.google.com/spreadsheets/d/11923uPwbBZFjjGgGUA6NLw09EwE0CqkOc4q9oUmW1yo/edit?usp=sharing"",""แม่ฮ่องสอน!J445"")"),0)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IFERROR(__xludf.DUMMYFUNCTION("IMPORTRANGE(""https://docs.google.com/spreadsheets/d/11923uPwbBZFjjGgGUA6NLw09EwE0CqkOc4q9oUmW1yo/edit?usp=sharing"",""แม่ฮ่องสอน!I446"")"),0)</f>
        <v>0</v>
      </c>
      <c r="J551" s="408">
        <f ca="1">IFERROR(__xludf.DUMMYFUNCTION("IMPORTRANGE(""https://docs.google.com/spreadsheets/d/11923uPwbBZFjjGgGUA6NLw09EwE0CqkOc4q9oUmW1yo/edit?usp=sharing"",""แม่ฮ่องสอน!J446"")"),0)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IFERROR(__xludf.DUMMYFUNCTION("IMPORTRANGE(""https://docs.google.com/spreadsheets/d/11923uPwbBZFjjGgGUA6NLw09EwE0CqkOc4q9oUmW1yo/edit?usp=sharing"",""แม่ฮ่องสอน!L446"")"),0)</f>
        <v>0</v>
      </c>
      <c r="M551" s="410"/>
      <c r="N551" s="410">
        <f ca="1">IFERROR(__xludf.DUMMYFUNCTION("IMPORTRANGE(""https://docs.google.com/spreadsheets/d/11923uPwbBZFjjGgGUA6NLw09EwE0CqkOc4q9oUmW1yo/edit?usp=sharing"",""แม่ฮ่องสอน!M446"")"),0)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IFERROR(__xludf.DUMMYFUNCTION("IMPORTRANGE(""https://docs.google.com/spreadsheets/d/11923uPwbBZFjjGgGUA6NLw09EwE0CqkOc4q9oUmW1yo/edit?usp=sharing"",""แม่ฮ่องสอน!L447"")"),0)</f>
        <v>0</v>
      </c>
      <c r="M552" s="164"/>
      <c r="N552" s="168">
        <f ca="1">IFERROR(__xludf.DUMMYFUNCTION("IMPORTRANGE(""https://docs.google.com/spreadsheets/d/11923uPwbBZFjjGgGUA6NLw09EwE0CqkOc4q9oUmW1yo/edit?usp=sharing"",""แม่ฮ่องสอน!M447"")"),0)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IFERROR(__xludf.DUMMYFUNCTION("IMPORTRANGE(""https://docs.google.com/spreadsheets/d/11923uPwbBZFjjGgGUA6NLw09EwE0CqkOc4q9oUmW1yo/edit?usp=sharing"",""แม่ฮ่องสอน!L448"")"),0)</f>
        <v>0</v>
      </c>
      <c r="M553" s="165"/>
      <c r="N553" s="168">
        <f ca="1">IFERROR(__xludf.DUMMYFUNCTION("IMPORTRANGE(""https://docs.google.com/spreadsheets/d/11923uPwbBZFjjGgGUA6NLw09EwE0CqkOc4q9oUmW1yo/edit?usp=sharing"",""แม่ฮ่องสอน!M448"")"),0)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IFERROR(__xludf.DUMMYFUNCTION("IMPORTRANGE(""https://docs.google.com/spreadsheets/d/11923uPwbBZFjjGgGUA6NLw09EwE0CqkOc4q9oUmW1yo/edit?usp=sharing"",""แม่ฮ่องสอน!L449"")"),0)</f>
        <v>0</v>
      </c>
      <c r="M554" s="168"/>
      <c r="N554" s="168">
        <f ca="1">IFERROR(__xludf.DUMMYFUNCTION("IMPORTRANGE(""https://docs.google.com/spreadsheets/d/11923uPwbBZFjjGgGUA6NLw09EwE0CqkOc4q9oUmW1yo/edit?usp=sharing"",""แม่ฮ่องสอน!M449"")"),0)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IFERROR(__xludf.DUMMYFUNCTION("IMPORTRANGE(""https://docs.google.com/spreadsheets/d/11923uPwbBZFjjGgGUA6NLw09EwE0CqkOc4q9oUmW1yo/edit?usp=sharing"",""แม่ฮ่องสอน!L450"")"),0)</f>
        <v>0</v>
      </c>
      <c r="M555" s="168"/>
      <c r="N555" s="168">
        <f ca="1">IFERROR(__xludf.DUMMYFUNCTION("IMPORTRANGE(""https://docs.google.com/spreadsheets/d/11923uPwbBZFjjGgGUA6NLw09EwE0CqkOc4q9oUmW1yo/edit?usp=sharing"",""แม่ฮ่องสอน!M450"")"),0)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IFERROR(__xludf.DUMMYFUNCTION("IMPORTRANGE(""https://docs.google.com/spreadsheets/d/11923uPwbBZFjjGgGUA6NLw09EwE0CqkOc4q9oUmW1yo/edit?usp=sharing"",""แม่ฮ่องสอน!M451"")"),0)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IFERROR(__xludf.DUMMYFUNCTION("IMPORTRANGE(""https://docs.google.com/spreadsheets/d/11923uPwbBZFjjGgGUA6NLw09EwE0CqkOc4q9oUmW1yo/edit?usp=sharing"",""แม่ฮ่องสอน!M452"")"),0)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IFERROR(__xludf.DUMMYFUNCTION("IMPORTRANGE(""https://docs.google.com/spreadsheets/d/11923uPwbBZFjjGgGUA6NLw09EwE0CqkOc4q9oUmW1yo/edit?usp=sharing"",""แม่ฮ่องสอน!M453"")"),0)</f>
        <v>0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IFERROR(__xludf.DUMMYFUNCTION("IMPORTRANGE(""https://docs.google.com/spreadsheets/d/11923uPwbBZFjjGgGUA6NLw09EwE0CqkOc4q9oUmW1yo/edit?usp=sharing"",""แม่ฮ่องสอน!M454"")"),0)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IFERROR(__xludf.DUMMYFUNCTION("IMPORTRANGE(""https://docs.google.com/spreadsheets/d/11923uPwbBZFjjGgGUA6NLw09EwE0CqkOc4q9oUmW1yo/edit?usp=sharing"",""แม่ฮ่องสอน!I455"")"),0)</f>
        <v>0</v>
      </c>
      <c r="J560" s="162">
        <f ca="1">IFERROR(__xludf.DUMMYFUNCTION("IMPORTRANGE(""https://docs.google.com/spreadsheets/d/11923uPwbBZFjjGgGUA6NLw09EwE0CqkOc4q9oUmW1yo/edit?usp=sharing"",""แม่ฮ่องสอน!J455"")"),0)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IFERROR(__xludf.DUMMYFUNCTION("IMPORTRANGE(""https://docs.google.com/spreadsheets/d/11923uPwbBZFjjGgGUA6NLw09EwE0CqkOc4q9oUmW1yo/edit?usp=sharing"",""แม่ฮ่องสอน!I456"")"),0)</f>
        <v>0</v>
      </c>
      <c r="J561" s="203">
        <f ca="1">IFERROR(__xludf.DUMMYFUNCTION("IMPORTRANGE(""https://docs.google.com/spreadsheets/d/11923uPwbBZFjjGgGUA6NLw09EwE0CqkOc4q9oUmW1yo/edit?usp=sharing"",""แม่ฮ่องสอน!J456"")"),0)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f ca="1">IFERROR(__xludf.DUMMYFUNCTION("IMPORTRANGE(""https://docs.google.com/spreadsheets/d/11923uPwbBZFjjGgGUA6NLw09EwE0CqkOc4q9oUmW1yo/edit?usp=sharing"",""แม่ฮ่องสอน!I457"")"),0)</f>
        <v>0</v>
      </c>
      <c r="J562" s="203" t="str">
        <f ca="1">IFERROR(__xludf.DUMMYFUNCTION("IMPORTRANGE(""https://docs.google.com/spreadsheets/d/11923uPwbBZFjjGgGUA6NLw09EwE0CqkOc4q9oUmW1yo/edit?usp=sharing"",""แม่ฮ่องสอน!J457"")"),"")</f>
        <v/>
      </c>
      <c r="K562" s="163">
        <f t="shared" ca="1" si="121"/>
        <v>0</v>
      </c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f ca="1">IFERROR(__xludf.DUMMYFUNCTION("IMPORTRANGE(""https://docs.google.com/spreadsheets/d/11923uPwbBZFjjGgGUA6NLw09EwE0CqkOc4q9oUmW1yo/edit?usp=sharing"",""แม่ฮ่องสอน!I458"")"),0)</f>
        <v>0</v>
      </c>
      <c r="J563" s="187" t="str">
        <f ca="1">IFERROR(__xludf.DUMMYFUNCTION("IMPORTRANGE(""https://docs.google.com/spreadsheets/d/11923uPwbBZFjjGgGUA6NLw09EwE0CqkOc4q9oUmW1yo/edit?usp=sharing"",""แม่ฮ่องสอน!J458"")"),"")</f>
        <v/>
      </c>
      <c r="K563" s="163">
        <f t="shared" ca="1" si="121"/>
        <v>0</v>
      </c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IFERROR(__xludf.DUMMYFUNCTION("IMPORTRANGE(""https://docs.google.com/spreadsheets/d/11923uPwbBZFjjGgGUA6NLw09EwE0CqkOc4q9oUmW1yo/edit?usp=sharing"",""แม่ฮ่องสอน!I459"")"),250)</f>
        <v>250</v>
      </c>
      <c r="J564" s="369">
        <f ca="1">IFERROR(__xludf.DUMMYFUNCTION("IMPORTRANGE(""https://docs.google.com/spreadsheets/d/11923uPwbBZFjjGgGUA6NLw09EwE0CqkOc4q9oUmW1yo/edit?usp=sharing"",""แม่ฮ่องสอน!J459"")"),210)</f>
        <v>210</v>
      </c>
      <c r="K564" s="370">
        <f t="shared" ca="1" si="121"/>
        <v>84</v>
      </c>
      <c r="L564" s="371">
        <f ca="1">IFERROR(__xludf.DUMMYFUNCTION("IMPORTRANGE(""https://docs.google.com/spreadsheets/d/11923uPwbBZFjjGgGUA6NLw09EwE0CqkOc4q9oUmW1yo/edit?usp=sharing"",""แม่ฮ่องสอน!L459"")"),130080)</f>
        <v>130080</v>
      </c>
      <c r="M564" s="371"/>
      <c r="N564" s="371">
        <f ca="1">IFERROR(__xludf.DUMMYFUNCTION("IMPORTRANGE(""https://docs.google.com/spreadsheets/d/11923uPwbBZFjjGgGUA6NLw09EwE0CqkOc4q9oUmW1yo/edit?usp=sharing"",""แม่ฮ่องสอน!M459"")"),36640)</f>
        <v>36640</v>
      </c>
      <c r="O564" s="371">
        <f t="shared" ref="O564:O568" ca="1" si="122">+IF(L564&gt;0,N564*100/L564,0)</f>
        <v>28.167281672816728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IFERROR(__xludf.DUMMYFUNCTION("IMPORTRANGE(""https://docs.google.com/spreadsheets/d/11923uPwbBZFjjGgGUA6NLw09EwE0CqkOc4q9oUmW1yo/edit?usp=sharing"",""แม่ฮ่องสอน!L460"")"),0)</f>
        <v>0</v>
      </c>
      <c r="M565" s="164"/>
      <c r="N565" s="168">
        <f ca="1">IFERROR(__xludf.DUMMYFUNCTION("IMPORTRANGE(""https://docs.google.com/spreadsheets/d/11923uPwbBZFjjGgGUA6NLw09EwE0CqkOc4q9oUmW1yo/edit?usp=sharing"",""แม่ฮ่องสอน!M460"")"),0)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IFERROR(__xludf.DUMMYFUNCTION("IMPORTRANGE(""https://docs.google.com/spreadsheets/d/11923uPwbBZFjjGgGUA6NLw09EwE0CqkOc4q9oUmW1yo/edit?usp=sharing"",""แม่ฮ่องสอน!L461"")"),130080)</f>
        <v>130080</v>
      </c>
      <c r="M566" s="165"/>
      <c r="N566" s="168">
        <f ca="1">IFERROR(__xludf.DUMMYFUNCTION("IMPORTRANGE(""https://docs.google.com/spreadsheets/d/11923uPwbBZFjjGgGUA6NLw09EwE0CqkOc4q9oUmW1yo/edit?usp=sharing"",""แม่ฮ่องสอน!M461"")"),36640)</f>
        <v>36640</v>
      </c>
      <c r="O566" s="168">
        <f t="shared" ca="1" si="122"/>
        <v>28.167281672816728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IFERROR(__xludf.DUMMYFUNCTION("IMPORTRANGE(""https://docs.google.com/spreadsheets/d/11923uPwbBZFjjGgGUA6NLw09EwE0CqkOc4q9oUmW1yo/edit?usp=sharing"",""แม่ฮ่องสอน!L462"")"),0)</f>
        <v>0</v>
      </c>
      <c r="M567" s="168"/>
      <c r="N567" s="168">
        <f ca="1">IFERROR(__xludf.DUMMYFUNCTION("IMPORTRANGE(""https://docs.google.com/spreadsheets/d/11923uPwbBZFjjGgGUA6NLw09EwE0CqkOc4q9oUmW1yo/edit?usp=sharing"",""แม่ฮ่องสอน!M462"")"),0)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IFERROR(__xludf.DUMMYFUNCTION("IMPORTRANGE(""https://docs.google.com/spreadsheets/d/11923uPwbBZFjjGgGUA6NLw09EwE0CqkOc4q9oUmW1yo/edit?usp=sharing"",""แม่ฮ่องสอน!L463"")"),130080)</f>
        <v>130080</v>
      </c>
      <c r="M568" s="168"/>
      <c r="N568" s="168">
        <f ca="1">IFERROR(__xludf.DUMMYFUNCTION("IMPORTRANGE(""https://docs.google.com/spreadsheets/d/11923uPwbBZFjjGgGUA6NLw09EwE0CqkOc4q9oUmW1yo/edit?usp=sharing"",""แม่ฮ่องสอน!M463"")"),36640)</f>
        <v>36640</v>
      </c>
      <c r="O568" s="168">
        <f t="shared" ca="1" si="122"/>
        <v>28.167281672816728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IFERROR(__xludf.DUMMYFUNCTION("IMPORTRANGE(""https://docs.google.com/spreadsheets/d/11923uPwbBZFjjGgGUA6NLw09EwE0CqkOc4q9oUmW1yo/edit?usp=sharing"",""แม่ฮ่องสอน!M464"")"),0)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IFERROR(__xludf.DUMMYFUNCTION("IMPORTRANGE(""https://docs.google.com/spreadsheets/d/11923uPwbBZFjjGgGUA6NLw09EwE0CqkOc4q9oUmW1yo/edit?usp=sharing"",""แม่ฮ่องสอน!M465"")"),0)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IFERROR(__xludf.DUMMYFUNCTION("IMPORTRANGE(""https://docs.google.com/spreadsheets/d/11923uPwbBZFjjGgGUA6NLw09EwE0CqkOc4q9oUmW1yo/edit?usp=sharing"",""แม่ฮ่องสอน!M466"")"),33000)</f>
        <v>33000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IFERROR(__xludf.DUMMYFUNCTION("IMPORTRANGE(""https://docs.google.com/spreadsheets/d/11923uPwbBZFjjGgGUA6NLw09EwE0CqkOc4q9oUmW1yo/edit?usp=sharing"",""แม่ฮ่องสอน!M467"")"),3640)</f>
        <v>3640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IFERROR(__xludf.DUMMYFUNCTION("IMPORTRANGE(""https://docs.google.com/spreadsheets/d/11923uPwbBZFjjGgGUA6NLw09EwE0CqkOc4q9oUmW1yo/edit?usp=sharing"",""แม่ฮ่องสอน!I468"")"),250)</f>
        <v>250</v>
      </c>
      <c r="J573" s="418">
        <f ca="1">IFERROR(__xludf.DUMMYFUNCTION("IMPORTRANGE(""https://docs.google.com/spreadsheets/d/11923uPwbBZFjjGgGUA6NLw09EwE0CqkOc4q9oUmW1yo/edit?usp=sharing"",""แม่ฮ่องสอน!J468"")"),210)</f>
        <v>210</v>
      </c>
      <c r="K573" s="201">
        <f ca="1">IF(I573&gt;0,J573*100/I573,0)</f>
        <v>84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IFERROR(__xludf.DUMMYFUNCTION("IMPORTRANGE(""https://docs.google.com/spreadsheets/d/11923uPwbBZFjjGgGUA6NLw09EwE0CqkOc4q9oUmW1yo/edit?usp=sharing"",""แม่ฮ่องสอน!I470"")"),0)</f>
        <v>0</v>
      </c>
      <c r="J575" s="197">
        <f ca="1">IFERROR(__xludf.DUMMYFUNCTION("IMPORTRANGE(""https://docs.google.com/spreadsheets/d/11923uPwbBZFjjGgGUA6NLw09EwE0CqkOc4q9oUmW1yo/edit?usp=sharing"",""แม่ฮ่องสอน!J470"")"),5)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IFERROR(__xludf.DUMMYFUNCTION("IMPORTRANGE(""https://docs.google.com/spreadsheets/d/11923uPwbBZFjjGgGUA6NLw09EwE0CqkOc4q9oUmW1yo/edit?usp=sharing"",""แม่ฮ่องสอน!I471"")"),0)</f>
        <v>0</v>
      </c>
      <c r="J576" s="197">
        <f ca="1">IFERROR(__xludf.DUMMYFUNCTION("IMPORTRANGE(""https://docs.google.com/spreadsheets/d/11923uPwbBZFjjGgGUA6NLw09EwE0CqkOc4q9oUmW1yo/edit?usp=sharing"",""แม่ฮ่องสอน!J471"")"),123)</f>
        <v>123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IFERROR(__xludf.DUMMYFUNCTION("IMPORTRANGE(""https://docs.google.com/spreadsheets/d/11923uPwbBZFjjGgGUA6NLw09EwE0CqkOc4q9oUmW1yo/edit?usp=sharing"",""แม่ฮ่องสอน!I472"")"),0)</f>
        <v>0</v>
      </c>
      <c r="J577" s="188">
        <f ca="1">IFERROR(__xludf.DUMMYFUNCTION("IMPORTRANGE(""https://docs.google.com/spreadsheets/d/11923uPwbBZFjjGgGUA6NLw09EwE0CqkOc4q9oUmW1yo/edit?usp=sharing"",""แม่ฮ่องสอน!J472"")"),87)</f>
        <v>87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IFERROR(__xludf.DUMMYFUNCTION("IMPORTRANGE(""https://docs.google.com/spreadsheets/d/11923uPwbBZFjjGgGUA6NLw09EwE0CqkOc4q9oUmW1yo/edit?usp=sharing"",""แม่ฮ่องสอน!I473"")"),0)</f>
        <v>0</v>
      </c>
      <c r="J578" s="197">
        <f ca="1">IFERROR(__xludf.DUMMYFUNCTION("IMPORTRANGE(""https://docs.google.com/spreadsheets/d/11923uPwbBZFjjGgGUA6NLw09EwE0CqkOc4q9oUmW1yo/edit?usp=sharing"",""แม่ฮ่องสอน!J473"")"),0)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IFERROR(__xludf.DUMMYFUNCTION("IMPORTRANGE(""https://docs.google.com/spreadsheets/d/11923uPwbBZFjjGgGUA6NLw09EwE0CqkOc4q9oUmW1yo/edit?usp=sharing"",""แม่ฮ่องสอน!I474"")"),0)</f>
        <v>0</v>
      </c>
      <c r="J579" s="197">
        <f ca="1">IFERROR(__xludf.DUMMYFUNCTION("IMPORTRANGE(""https://docs.google.com/spreadsheets/d/11923uPwbBZFjjGgGUA6NLw09EwE0CqkOc4q9oUmW1yo/edit?usp=sharing"",""แม่ฮ่องสอน!J474"")"),0)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IFERROR(__xludf.DUMMYFUNCTION("IMPORTRANGE(""https://docs.google.com/spreadsheets/d/11923uPwbBZFjjGgGUA6NLw09EwE0CqkOc4q9oUmW1yo/edit?usp=sharing"",""แม่ฮ่องสอน!I475"")"),34)</f>
        <v>34</v>
      </c>
      <c r="J580" s="369">
        <f ca="1">IFERROR(__xludf.DUMMYFUNCTION("IMPORTRANGE(""https://docs.google.com/spreadsheets/d/11923uPwbBZFjjGgGUA6NLw09EwE0CqkOc4q9oUmW1yo/edit?usp=sharing"",""แม่ฮ่องสอน!J475"")"),0)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IFERROR(__xludf.DUMMYFUNCTION("IMPORTRANGE(""https://docs.google.com/spreadsheets/d/11923uPwbBZFjjGgGUA6NLw09EwE0CqkOc4q9oUmW1yo/edit?usp=sharing"",""แม่ฮ่องสอน!L475"")"),128934)</f>
        <v>128934</v>
      </c>
      <c r="M580" s="371"/>
      <c r="N580" s="371">
        <f ca="1">IFERROR(__xludf.DUMMYFUNCTION("IMPORTRANGE(""https://docs.google.com/spreadsheets/d/11923uPwbBZFjjGgGUA6NLw09EwE0CqkOc4q9oUmW1yo/edit?usp=sharing"",""แม่ฮ่องสอน!M475"")"),44620)</f>
        <v>44620</v>
      </c>
      <c r="O580" s="371">
        <f t="shared" ref="O580:O584" ca="1" si="124">+IF(L580&gt;0,N580*100/L580,0)</f>
        <v>34.606853118649852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IFERROR(__xludf.DUMMYFUNCTION("IMPORTRANGE(""https://docs.google.com/spreadsheets/d/11923uPwbBZFjjGgGUA6NLw09EwE0CqkOc4q9oUmW1yo/edit?usp=sharing"",""แม่ฮ่องสอน!L476"")"),0)</f>
        <v>0</v>
      </c>
      <c r="M581" s="164"/>
      <c r="N581" s="168">
        <f ca="1">IFERROR(__xludf.DUMMYFUNCTION("IMPORTRANGE(""https://docs.google.com/spreadsheets/d/11923uPwbBZFjjGgGUA6NLw09EwE0CqkOc4q9oUmW1yo/edit?usp=sharing"",""แม่ฮ่องสอน!M476"")"),0)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IFERROR(__xludf.DUMMYFUNCTION("IMPORTRANGE(""https://docs.google.com/spreadsheets/d/11923uPwbBZFjjGgGUA6NLw09EwE0CqkOc4q9oUmW1yo/edit?usp=sharing"",""แม่ฮ่องสอน!L477"")"),128934)</f>
        <v>128934</v>
      </c>
      <c r="M582" s="165"/>
      <c r="N582" s="168">
        <f ca="1">IFERROR(__xludf.DUMMYFUNCTION("IMPORTRANGE(""https://docs.google.com/spreadsheets/d/11923uPwbBZFjjGgGUA6NLw09EwE0CqkOc4q9oUmW1yo/edit?usp=sharing"",""แม่ฮ่องสอน!M477"")"),44620)</f>
        <v>44620</v>
      </c>
      <c r="O582" s="168">
        <f t="shared" ca="1" si="124"/>
        <v>34.606853118649852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IFERROR(__xludf.DUMMYFUNCTION("IMPORTRANGE(""https://docs.google.com/spreadsheets/d/11923uPwbBZFjjGgGUA6NLw09EwE0CqkOc4q9oUmW1yo/edit?usp=sharing"",""แม่ฮ่องสอน!L478"")"),0)</f>
        <v>0</v>
      </c>
      <c r="M583" s="168"/>
      <c r="N583" s="168">
        <f ca="1">IFERROR(__xludf.DUMMYFUNCTION("IMPORTRANGE(""https://docs.google.com/spreadsheets/d/11923uPwbBZFjjGgGUA6NLw09EwE0CqkOc4q9oUmW1yo/edit?usp=sharing"",""แม่ฮ่องสอน!M478"")"),0)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IFERROR(__xludf.DUMMYFUNCTION("IMPORTRANGE(""https://docs.google.com/spreadsheets/d/11923uPwbBZFjjGgGUA6NLw09EwE0CqkOc4q9oUmW1yo/edit?usp=sharing"",""แม่ฮ่องสอน!L479"")"),128934)</f>
        <v>128934</v>
      </c>
      <c r="M584" s="168"/>
      <c r="N584" s="168">
        <f ca="1">IFERROR(__xludf.DUMMYFUNCTION("IMPORTRANGE(""https://docs.google.com/spreadsheets/d/11923uPwbBZFjjGgGUA6NLw09EwE0CqkOc4q9oUmW1yo/edit?usp=sharing"",""แม่ฮ่องสอน!M479"")"),44620)</f>
        <v>44620</v>
      </c>
      <c r="O584" s="168">
        <f t="shared" ca="1" si="124"/>
        <v>34.606853118649852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IFERROR(__xludf.DUMMYFUNCTION("IMPORTRANGE(""https://docs.google.com/spreadsheets/d/11923uPwbBZFjjGgGUA6NLw09EwE0CqkOc4q9oUmW1yo/edit?usp=sharing"",""แม่ฮ่องสอน!M480"")"),0)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IFERROR(__xludf.DUMMYFUNCTION("IMPORTRANGE(""https://docs.google.com/spreadsheets/d/11923uPwbBZFjjGgGUA6NLw09EwE0CqkOc4q9oUmW1yo/edit?usp=sharing"",""แม่ฮ่องสอน!M481"")"),0)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IFERROR(__xludf.DUMMYFUNCTION("IMPORTRANGE(""https://docs.google.com/spreadsheets/d/11923uPwbBZFjjGgGUA6NLw09EwE0CqkOc4q9oUmW1yo/edit?usp=sharing"",""แม่ฮ่องสอน!M482"")"),0)</f>
        <v>0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IFERROR(__xludf.DUMMYFUNCTION("IMPORTRANGE(""https://docs.google.com/spreadsheets/d/11923uPwbBZFjjGgGUA6NLw09EwE0CqkOc4q9oUmW1yo/edit?usp=sharing"",""แม่ฮ่องสอน!M483"")"),44620)</f>
        <v>44620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IFERROR(__xludf.DUMMYFUNCTION("IMPORTRANGE(""https://docs.google.com/spreadsheets/d/11923uPwbBZFjjGgGUA6NLw09EwE0CqkOc4q9oUmW1yo/edit?usp=sharing"",""แม่ฮ่องสอน!I484"")"),34)</f>
        <v>34</v>
      </c>
      <c r="J589" s="187">
        <f ca="1">IFERROR(__xludf.DUMMYFUNCTION("IMPORTRANGE(""https://docs.google.com/spreadsheets/d/11923uPwbBZFjjGgGUA6NLw09EwE0CqkOc4q9oUmW1yo/edit?usp=sharing"",""แม่ฮ่องสอน!J484"")"),0)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IFERROR(__xludf.DUMMYFUNCTION("IMPORTRANGE(""https://docs.google.com/spreadsheets/d/11923uPwbBZFjjGgGUA6NLw09EwE0CqkOc4q9oUmW1yo/edit?usp=sharing"",""แม่ฮ่องสอน!I485"")"),0)</f>
        <v>0</v>
      </c>
      <c r="J590" s="187">
        <f ca="1">IFERROR(__xludf.DUMMYFUNCTION("IMPORTRANGE(""https://docs.google.com/spreadsheets/d/11923uPwbBZFjjGgGUA6NLw09EwE0CqkOc4q9oUmW1yo/edit?usp=sharing"",""แม่ฮ่องสอน!J485"")"),0)</f>
        <v>0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IFERROR(__xludf.DUMMYFUNCTION("IMPORTRANGE(""https://docs.google.com/spreadsheets/d/11923uPwbBZFjjGgGUA6NLw09EwE0CqkOc4q9oUmW1yo/edit?usp=sharing"",""แม่ฮ่องสอน!I486"")"),34)</f>
        <v>34</v>
      </c>
      <c r="J591" s="187">
        <f ca="1">IFERROR(__xludf.DUMMYFUNCTION("IMPORTRANGE(""https://docs.google.com/spreadsheets/d/11923uPwbBZFjjGgGUA6NLw09EwE0CqkOc4q9oUmW1yo/edit?usp=sharing"",""แม่ฮ่องสอน!J486"")"),0)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IFERROR(__xludf.DUMMYFUNCTION("IMPORTRANGE(""https://docs.google.com/spreadsheets/d/11923uPwbBZFjjGgGUA6NLw09EwE0CqkOc4q9oUmW1yo/edit?usp=sharing"",""แม่ฮ่องสอน!I487"")"),0)</f>
        <v>0</v>
      </c>
      <c r="J592" s="187">
        <f ca="1">IFERROR(__xludf.DUMMYFUNCTION("IMPORTRANGE(""https://docs.google.com/spreadsheets/d/11923uPwbBZFjjGgGUA6NLw09EwE0CqkOc4q9oUmW1yo/edit?usp=sharing"",""แม่ฮ่องสอน!J487"")"),0)</f>
        <v>0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IFERROR(__xludf.DUMMYFUNCTION("IMPORTRANGE(""https://docs.google.com/spreadsheets/d/11923uPwbBZFjjGgGUA6NLw09EwE0CqkOc4q9oUmW1yo/edit?usp=sharing"",""แม่ฮ่องสอน!I488"")"),34)</f>
        <v>34</v>
      </c>
      <c r="J593" s="187">
        <f ca="1">IFERROR(__xludf.DUMMYFUNCTION("IMPORTRANGE(""https://docs.google.com/spreadsheets/d/11923uPwbBZFjjGgGUA6NLw09EwE0CqkOc4q9oUmW1yo/edit?usp=sharing"",""แม่ฮ่องสอน!J488"")"),0)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IFERROR(__xludf.DUMMYFUNCTION("IMPORTRANGE(""https://docs.google.com/spreadsheets/d/11923uPwbBZFjjGgGUA6NLw09EwE0CqkOc4q9oUmW1yo/edit?usp=sharing"",""แม่ฮ่องสอน!I489"")"),0)</f>
        <v>0</v>
      </c>
      <c r="J594" s="187">
        <f ca="1">IFERROR(__xludf.DUMMYFUNCTION("IMPORTRANGE(""https://docs.google.com/spreadsheets/d/11923uPwbBZFjjGgGUA6NLw09EwE0CqkOc4q9oUmW1yo/edit?usp=sharing"",""แม่ฮ่องสอน!J489"")"),0)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IFERROR(__xludf.DUMMYFUNCTION("IMPORTRANGE(""https://docs.google.com/spreadsheets/d/11923uPwbBZFjjGgGUA6NLw09EwE0CqkOc4q9oUmW1yo/edit?usp=sharing"",""แม่ฮ่องสอน!I490"")"),34)</f>
        <v>34</v>
      </c>
      <c r="J595" s="187">
        <f ca="1">IFERROR(__xludf.DUMMYFUNCTION("IMPORTRANGE(""https://docs.google.com/spreadsheets/d/11923uPwbBZFjjGgGUA6NLw09EwE0CqkOc4q9oUmW1yo/edit?usp=sharing"",""แม่ฮ่องสอน!J490"")"),0)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IFERROR(__xludf.DUMMYFUNCTION("IMPORTRANGE(""https://docs.google.com/spreadsheets/d/11923uPwbBZFjjGgGUA6NLw09EwE0CqkOc4q9oUmW1yo/edit?usp=sharing"",""แม่ฮ่องสอน!I491"")"),0)</f>
        <v>0</v>
      </c>
      <c r="J596" s="240">
        <f ca="1">IFERROR(__xludf.DUMMYFUNCTION("IMPORTRANGE(""https://docs.google.com/spreadsheets/d/11923uPwbBZFjjGgGUA6NLw09EwE0CqkOc4q9oUmW1yo/edit?usp=sharing"",""แม่ฮ่องสอน!J491"")"),0)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IFERROR(__xludf.DUMMYFUNCTION("IMPORTRANGE(""https://docs.google.com/spreadsheets/d/11923uPwbBZFjjGgGUA6NLw09EwE0CqkOc4q9oUmW1yo/edit?usp=sharing"",""แม่ฮ่องสอน!I492"")"),50)</f>
        <v>50</v>
      </c>
      <c r="J597" s="485">
        <f ca="1">IFERROR(__xludf.DUMMYFUNCTION("IMPORTRANGE(""https://docs.google.com/spreadsheets/d/11923uPwbBZFjjGgGUA6NLw09EwE0CqkOc4q9oUmW1yo/edit?usp=sharing"",""แม่ฮ่องสอน!J492"")"),0)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IFERROR(__xludf.DUMMYFUNCTION("IMPORTRANGE(""https://docs.google.com/spreadsheets/d/11923uPwbBZFjjGgGUA6NLw09EwE0CqkOc4q9oUmW1yo/edit?usp=sharing"",""แม่ฮ่องสอน!L492"")"),6950)</f>
        <v>6950</v>
      </c>
      <c r="M597" s="410"/>
      <c r="N597" s="410">
        <f ca="1">IFERROR(__xludf.DUMMYFUNCTION("IMPORTRANGE(""https://docs.google.com/spreadsheets/d/11923uPwbBZFjjGgGUA6NLw09EwE0CqkOc4q9oUmW1yo/edit?usp=sharing"",""แม่ฮ่องสอน!M492"")"),3910)</f>
        <v>3910</v>
      </c>
      <c r="O597" s="410">
        <f t="shared" ref="O597:O601" ca="1" si="126">+IF(L597&gt;0,N597*100/L597,0)</f>
        <v>56.258992805755398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IFERROR(__xludf.DUMMYFUNCTION("IMPORTRANGE(""https://docs.google.com/spreadsheets/d/11923uPwbBZFjjGgGUA6NLw09EwE0CqkOc4q9oUmW1yo/edit?usp=sharing"",""แม่ฮ่องสอน!L493"")"),0)</f>
        <v>0</v>
      </c>
      <c r="M598" s="164"/>
      <c r="N598" s="168">
        <f ca="1">IFERROR(__xludf.DUMMYFUNCTION("IMPORTRANGE(""https://docs.google.com/spreadsheets/d/11923uPwbBZFjjGgGUA6NLw09EwE0CqkOc4q9oUmW1yo/edit?usp=sharing"",""แม่ฮ่องสอน!M493"")"),0)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IFERROR(__xludf.DUMMYFUNCTION("IMPORTRANGE(""https://docs.google.com/spreadsheets/d/11923uPwbBZFjjGgGUA6NLw09EwE0CqkOc4q9oUmW1yo/edit?usp=sharing"",""แม่ฮ่องสอน!L494"")"),6950)</f>
        <v>6950</v>
      </c>
      <c r="M599" s="165"/>
      <c r="N599" s="168">
        <f ca="1">IFERROR(__xludf.DUMMYFUNCTION("IMPORTRANGE(""https://docs.google.com/spreadsheets/d/11923uPwbBZFjjGgGUA6NLw09EwE0CqkOc4q9oUmW1yo/edit?usp=sharing"",""แม่ฮ่องสอน!M494"")"),3910)</f>
        <v>3910</v>
      </c>
      <c r="O599" s="168">
        <f t="shared" ca="1" si="126"/>
        <v>56.258992805755398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IFERROR(__xludf.DUMMYFUNCTION("IMPORTRANGE(""https://docs.google.com/spreadsheets/d/11923uPwbBZFjjGgGUA6NLw09EwE0CqkOc4q9oUmW1yo/edit?usp=sharing"",""แม่ฮ่องสอน!L495"")"),0)</f>
        <v>0</v>
      </c>
      <c r="M600" s="168"/>
      <c r="N600" s="168">
        <f ca="1">IFERROR(__xludf.DUMMYFUNCTION("IMPORTRANGE(""https://docs.google.com/spreadsheets/d/11923uPwbBZFjjGgGUA6NLw09EwE0CqkOc4q9oUmW1yo/edit?usp=sharing"",""แม่ฮ่องสอน!M495"")"),0)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IFERROR(__xludf.DUMMYFUNCTION("IMPORTRANGE(""https://docs.google.com/spreadsheets/d/11923uPwbBZFjjGgGUA6NLw09EwE0CqkOc4q9oUmW1yo/edit?usp=sharing"",""แม่ฮ่องสอน!L496"")"),6950)</f>
        <v>6950</v>
      </c>
      <c r="M601" s="168"/>
      <c r="N601" s="168">
        <f ca="1">IFERROR(__xludf.DUMMYFUNCTION("IMPORTRANGE(""https://docs.google.com/spreadsheets/d/11923uPwbBZFjjGgGUA6NLw09EwE0CqkOc4q9oUmW1yo/edit?usp=sharing"",""แม่ฮ่องสอน!M496"")"),3910)</f>
        <v>3910</v>
      </c>
      <c r="O601" s="168">
        <f t="shared" ca="1" si="126"/>
        <v>56.258992805755398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IFERROR(__xludf.DUMMYFUNCTION("IMPORTRANGE(""https://docs.google.com/spreadsheets/d/11923uPwbBZFjjGgGUA6NLw09EwE0CqkOc4q9oUmW1yo/edit?usp=sharing"",""แม่ฮ่องสอน!M497"")"),0)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IFERROR(__xludf.DUMMYFUNCTION("IMPORTRANGE(""https://docs.google.com/spreadsheets/d/11923uPwbBZFjjGgGUA6NLw09EwE0CqkOc4q9oUmW1yo/edit?usp=sharing"",""แม่ฮ่องสอน!M498"")"),0)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IFERROR(__xludf.DUMMYFUNCTION("IMPORTRANGE(""https://docs.google.com/spreadsheets/d/11923uPwbBZFjjGgGUA6NLw09EwE0CqkOc4q9oUmW1yo/edit?usp=sharing"",""แม่ฮ่องสอน!M499"")"),0)</f>
        <v>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IFERROR(__xludf.DUMMYFUNCTION("IMPORTRANGE(""https://docs.google.com/spreadsheets/d/11923uPwbBZFjjGgGUA6NLw09EwE0CqkOc4q9oUmW1yo/edit?usp=sharing"",""แม่ฮ่องสอน!M500"")"),3910)</f>
        <v>3910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IFERROR(__xludf.DUMMYFUNCTION("IMPORTRANGE(""https://docs.google.com/spreadsheets/d/11923uPwbBZFjjGgGUA6NLw09EwE0CqkOc4q9oUmW1yo/edit?usp=sharing"",""แม่ฮ่องสอน!J502"")"),0)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IFERROR(__xludf.DUMMYFUNCTION("IMPORTRANGE(""https://docs.google.com/spreadsheets/d/11923uPwbBZFjjGgGUA6NLw09EwE0CqkOc4q9oUmW1yo/edit?usp=sharing"",""แม่ฮ่องสอน!J503"")"),1)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IFERROR(__xludf.DUMMYFUNCTION("IMPORTRANGE(""https://docs.google.com/spreadsheets/d/11923uPwbBZFjjGgGUA6NLw09EwE0CqkOc4q9oUmW1yo/edit?usp=sharing"",""แม่ฮ่องสอน!J166"")"),0)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IFERROR(__xludf.DUMMYFUNCTION("IMPORTRANGE(""https://docs.google.com/spreadsheets/d/11923uPwbBZFjjGgGUA6NLw09EwE0CqkOc4q9oUmW1yo/edit?usp=sharing"",""แม่ฮ่องสอน!J166"")"),0)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IFERROR(__xludf.DUMMYFUNCTION("IMPORTRANGE(""https://docs.google.com/spreadsheets/d/11923uPwbBZFjjGgGUA6NLw09EwE0CqkOc4q9oUmW1yo/edit?usp=sharing"",""แม่ฮ่องสอน!I506"")"),50)</f>
        <v>50</v>
      </c>
      <c r="J611" s="162">
        <f ca="1">IFERROR(__xludf.DUMMYFUNCTION("IMPORTRANGE(""https://docs.google.com/spreadsheets/d/11923uPwbBZFjjGgGUA6NLw09EwE0CqkOc4q9oUmW1yo/edit?usp=sharing"",""แม่ฮ่องสอน!J506"")"),0)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IFERROR(__xludf.DUMMYFUNCTION("IMPORTRANGE(""https://docs.google.com/spreadsheets/d/11923uPwbBZFjjGgGUA6NLw09EwE0CqkOc4q9oUmW1yo/edit?usp=sharing"",""แม่ฮ่องสอน!I507"")"),0)</f>
        <v>0</v>
      </c>
      <c r="J612" s="197">
        <f ca="1">IFERROR(__xludf.DUMMYFUNCTION("IMPORTRANGE(""https://docs.google.com/spreadsheets/d/11923uPwbBZFjjGgGUA6NLw09EwE0CqkOc4q9oUmW1yo/edit?usp=sharing"",""แม่ฮ่องสอน!J507"")"),0)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IFERROR(__xludf.DUMMYFUNCTION("IMPORTRANGE(""https://docs.google.com/spreadsheets/d/11923uPwbBZFjjGgGUA6NLw09EwE0CqkOc4q9oUmW1yo/edit?usp=sharing"",""แม่ฮ่องสอน!I508"")"),0)</f>
        <v>0</v>
      </c>
      <c r="J613" s="197">
        <f ca="1">IFERROR(__xludf.DUMMYFUNCTION("IMPORTRANGE(""https://docs.google.com/spreadsheets/d/11923uPwbBZFjjGgGUA6NLw09EwE0CqkOc4q9oUmW1yo/edit?usp=sharing"",""แม่ฮ่องสอน!J508"")"),0)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IFERROR(__xludf.DUMMYFUNCTION("IMPORTRANGE(""https://docs.google.com/spreadsheets/d/11923uPwbBZFjjGgGUA6NLw09EwE0CqkOc4q9oUmW1yo/edit?usp=sharing"",""แม่ฮ่องสอน!I509"")"),0)</f>
        <v>0</v>
      </c>
      <c r="J614" s="197">
        <f ca="1">IFERROR(__xludf.DUMMYFUNCTION("IMPORTRANGE(""https://docs.google.com/spreadsheets/d/11923uPwbBZFjjGgGUA6NLw09EwE0CqkOc4q9oUmW1yo/edit?usp=sharing"",""แม่ฮ่องสอน!J509"")"),0)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IFERROR(__xludf.DUMMYFUNCTION("IMPORTRANGE(""https://docs.google.com/spreadsheets/d/11923uPwbBZFjjGgGUA6NLw09EwE0CqkOc4q9oUmW1yo/edit?usp=sharing"",""แม่ฮ่องสอน!I510"")"),0)</f>
        <v>0</v>
      </c>
      <c r="J615" s="197">
        <f ca="1">IFERROR(__xludf.DUMMYFUNCTION("IMPORTRANGE(""https://docs.google.com/spreadsheets/d/11923uPwbBZFjjGgGUA6NLw09EwE0CqkOc4q9oUmW1yo/edit?usp=sharing"",""แม่ฮ่องสอน!J510"")"),0)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IFERROR(__xludf.DUMMYFUNCTION("IMPORTRANGE(""https://docs.google.com/spreadsheets/d/11923uPwbBZFjjGgGUA6NLw09EwE0CqkOc4q9oUmW1yo/edit?usp=sharing"",""แม่ฮ่องสอน!I511"")"),0)</f>
        <v>0</v>
      </c>
      <c r="J616" s="197">
        <f ca="1">IFERROR(__xludf.DUMMYFUNCTION("IMPORTRANGE(""https://docs.google.com/spreadsheets/d/11923uPwbBZFjjGgGUA6NLw09EwE0CqkOc4q9oUmW1yo/edit?usp=sharing"",""แม่ฮ่องสอน!J511"")"),0)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IFERROR(__xludf.DUMMYFUNCTION("IMPORTRANGE(""https://docs.google.com/spreadsheets/d/11923uPwbBZFjjGgGUA6NLw09EwE0CqkOc4q9oUmW1yo/edit?usp=sharing"",""แม่ฮ่องสอน!I512"")"),0)</f>
        <v>0</v>
      </c>
      <c r="J617" s="187">
        <f ca="1">IFERROR(__xludf.DUMMYFUNCTION("IMPORTRANGE(""https://docs.google.com/spreadsheets/d/11923uPwbBZFjjGgGUA6NLw09EwE0CqkOc4q9oUmW1yo/edit?usp=sharing"",""แม่ฮ่องสอน!J512"")"),0)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IFERROR(__xludf.DUMMYFUNCTION("IMPORTRANGE(""https://docs.google.com/spreadsheets/d/11923uPwbBZFjjGgGUA6NLw09EwE0CqkOc4q9oUmW1yo/edit?usp=sharing"",""แม่ฮ่องสอน!I513"")"),0)</f>
        <v>0</v>
      </c>
      <c r="J618" s="188">
        <f ca="1">IFERROR(__xludf.DUMMYFUNCTION("IMPORTRANGE(""https://docs.google.com/spreadsheets/d/11923uPwbBZFjjGgGUA6NLw09EwE0CqkOc4q9oUmW1yo/edit?usp=sharing"",""แม่ฮ่องสอน!J513"")"),0)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IFERROR(__xludf.DUMMYFUNCTION("IMPORTRANGE(""https://docs.google.com/spreadsheets/d/11923uPwbBZFjjGgGUA6NLw09EwE0CqkOc4q9oUmW1yo/edit?usp=sharing"",""แม่ฮ่องสอน!I514"")"),0)</f>
        <v>0</v>
      </c>
      <c r="J619" s="188">
        <f ca="1">IFERROR(__xludf.DUMMYFUNCTION("IMPORTRANGE(""https://docs.google.com/spreadsheets/d/11923uPwbBZFjjGgGUA6NLw09EwE0CqkOc4q9oUmW1yo/edit?usp=sharing"",""แม่ฮ่องสอน!J514"")"),0)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IFERROR(__xludf.DUMMYFUNCTION("IMPORTRANGE(""https://docs.google.com/spreadsheets/d/11923uPwbBZFjjGgGUA6NLw09EwE0CqkOc4q9oUmW1yo/edit?usp=sharing"",""แม่ฮ่องสอน!I515"")"),0)</f>
        <v>0</v>
      </c>
      <c r="J620" s="202">
        <f ca="1">IFERROR(__xludf.DUMMYFUNCTION("IMPORTRANGE(""https://docs.google.com/spreadsheets/d/11923uPwbBZFjjGgGUA6NLw09EwE0CqkOc4q9oUmW1yo/edit?usp=sharing"",""แม่ฮ่องสอน!J515"")"),0)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IFERROR(__xludf.DUMMYFUNCTION("IMPORTRANGE(""https://docs.google.com/spreadsheets/d/11923uPwbBZFjjGgGUA6NLw09EwE0CqkOc4q9oUmW1yo/edit?usp=sharing"",""แม่ฮ่องสอน!I516"")"),0)</f>
        <v>0</v>
      </c>
      <c r="J621" s="202">
        <f ca="1">IFERROR(__xludf.DUMMYFUNCTION("IMPORTRANGE(""https://docs.google.com/spreadsheets/d/11923uPwbBZFjjGgGUA6NLw09EwE0CqkOc4q9oUmW1yo/edit?usp=sharing"",""แม่ฮ่องสอน!J516"")"),0)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IFERROR(__xludf.DUMMYFUNCTION("IMPORTRANGE(""https://docs.google.com/spreadsheets/d/11923uPwbBZFjjGgGUA6NLw09EwE0CqkOc4q9oUmW1yo/edit?usp=sharing"",""แม่ฮ่องสอน!I517"")"),0)</f>
        <v>0</v>
      </c>
      <c r="J622" s="188">
        <f ca="1">IFERROR(__xludf.DUMMYFUNCTION("IMPORTRANGE(""https://docs.google.com/spreadsheets/d/11923uPwbBZFjjGgGUA6NLw09EwE0CqkOc4q9oUmW1yo/edit?usp=sharing"",""แม่ฮ่องสอน!J517"")"),0)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IFERROR(__xludf.DUMMYFUNCTION("IMPORTRANGE(""https://docs.google.com/spreadsheets/d/11923uPwbBZFjjGgGUA6NLw09EwE0CqkOc4q9oUmW1yo/edit?usp=sharing"",""แม่ฮ่องสอน!I518"")"),0)</f>
        <v>0</v>
      </c>
      <c r="J623" s="188">
        <f ca="1">IFERROR(__xludf.DUMMYFUNCTION("IMPORTRANGE(""https://docs.google.com/spreadsheets/d/11923uPwbBZFjjGgGUA6NLw09EwE0CqkOc4q9oUmW1yo/edit?usp=sharing"",""แม่ฮ่องสอน!J518"")"),0)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IFERROR(__xludf.DUMMYFUNCTION("IMPORTRANGE(""https://docs.google.com/spreadsheets/d/11923uPwbBZFjjGgGUA6NLw09EwE0CqkOc4q9oUmW1yo/edit?usp=sharing"",""แม่ฮ่องสอน!I519"")"),0)</f>
        <v>0</v>
      </c>
      <c r="J624" s="187">
        <f ca="1">IFERROR(__xludf.DUMMYFUNCTION("IMPORTRANGE(""https://docs.google.com/spreadsheets/d/11923uPwbBZFjjGgGUA6NLw09EwE0CqkOc4q9oUmW1yo/edit?usp=sharing"",""แม่ฮ่องสอน!J519"")"),0)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IFERROR(__xludf.DUMMYFUNCTION("IMPORTRANGE(""https://docs.google.com/spreadsheets/d/11923uPwbBZFjjGgGUA6NLw09EwE0CqkOc4q9oUmW1yo/edit?usp=sharing"",""แม่ฮ่องสอน!I520"")"),0)</f>
        <v>0</v>
      </c>
      <c r="J625" s="188">
        <f ca="1">IFERROR(__xludf.DUMMYFUNCTION("IMPORTRANGE(""https://docs.google.com/spreadsheets/d/11923uPwbBZFjjGgGUA6NLw09EwE0CqkOc4q9oUmW1yo/edit?usp=sharing"",""แม่ฮ่องสอน!J520"")"),0)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IFERROR(__xludf.DUMMYFUNCTION("IMPORTRANGE(""https://docs.google.com/spreadsheets/d/11923uPwbBZFjjGgGUA6NLw09EwE0CqkOc4q9oUmW1yo/edit?usp=sharing"",""แม่ฮ่องสอน!I521"")"),0)</f>
        <v>0</v>
      </c>
      <c r="J626" s="188">
        <f ca="1">IFERROR(__xludf.DUMMYFUNCTION("IMPORTRANGE(""https://docs.google.com/spreadsheets/d/11923uPwbBZFjjGgGUA6NLw09EwE0CqkOc4q9oUmW1yo/edit?usp=sharing"",""แม่ฮ่องสอน!J521"")"),0)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39">
        <f ca="1">IFERROR(__xludf.DUMMYFUNCTION("IMPORTRANGE(""https://docs.google.com/spreadsheets/d/11923uPwbBZFjjGgGUA6NLw09EwE0CqkOc4q9oUmW1yo/edit?usp=sharing"",""แม่ฮ่องสอน!J523"")"),238256.95)</f>
        <v>238256.95</v>
      </c>
      <c r="K628" s="340">
        <f t="shared" ref="K628:K635" ca="1" si="129">IF(I628&gt;0,J628*100/I628,0)</f>
        <v>28.394763726882733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IFERROR(__xludf.DUMMYFUNCTION("IMPORTRANGE(""https://docs.google.com/spreadsheets/d/11923uPwbBZFjjGgGUA6NLw09EwE0CqkOc4q9oUmW1yo/edit?usp=sharing"",""แม่ฮ่องสอน!I524"")"),84)</f>
        <v>84</v>
      </c>
      <c r="J629" s="339">
        <f ca="1">IFERROR(__xludf.DUMMYFUNCTION("IMPORTRANGE(""https://docs.google.com/spreadsheets/d/11923uPwbBZFjjGgGUA6NLw09EwE0CqkOc4q9oUmW1yo/edit?usp=sharing"",""แม่ฮ่องสอน!J524"")"),22)</f>
        <v>22</v>
      </c>
      <c r="K629" s="340">
        <f t="shared" ca="1" si="129"/>
        <v>26.19047619047619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39">
        <f ca="1">IFERROR(__xludf.DUMMYFUNCTION("IMPORTRANGE(""https://docs.google.com/spreadsheets/d/11923uPwbBZFjjGgGUA6NLw09EwE0CqkOc4q9oUmW1yo/edit?usp=sharing"",""แม่ฮ่องสอน!J525"")"),64155.01)</f>
        <v>64155.01</v>
      </c>
      <c r="K630" s="340">
        <f t="shared" ca="1" si="129"/>
        <v>18.79442931502804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IFERROR(__xludf.DUMMYFUNCTION("IMPORTRANGE(""https://docs.google.com/spreadsheets/d/11923uPwbBZFjjGgGUA6NLw09EwE0CqkOc4q9oUmW1yo/edit?usp=sharing"",""แม่ฮ่องสอน!I526"")"),27)</f>
        <v>27</v>
      </c>
      <c r="J631" s="339">
        <f ca="1">IFERROR(__xludf.DUMMYFUNCTION("IMPORTRANGE(""https://docs.google.com/spreadsheets/d/11923uPwbBZFjjGgGUA6NLw09EwE0CqkOc4q9oUmW1yo/edit?usp=sharing"",""แม่ฮ่องสอน!J526"")"),15)</f>
        <v>15</v>
      </c>
      <c r="K631" s="340">
        <f t="shared" ca="1" si="129"/>
        <v>55.555555555555557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IFERROR(__xludf.DUMMYFUNCTION("IMPORTRANGE(""https://docs.google.com/spreadsheets/d/11923uPwbBZFjjGgGUA6NLw09EwE0CqkOc4q9oUmW1yo/edit?usp=sharing"",""แม่ฮ่องสอน!I527"")"),0)</f>
        <v>0</v>
      </c>
      <c r="J632" s="339">
        <f ca="1">IFERROR(__xludf.DUMMYFUNCTION("IMPORTRANGE(""https://docs.google.com/spreadsheets/d/11923uPwbBZFjjGgGUA6NLw09EwE0CqkOc4q9oUmW1yo/edit?usp=sharing"",""แม่ฮ่องสอน!J527"")"),0)</f>
        <v>0</v>
      </c>
      <c r="K632" s="340">
        <f t="shared" ca="1" si="129"/>
        <v>0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IFERROR(__xludf.DUMMYFUNCTION("IMPORTRANGE(""https://docs.google.com/spreadsheets/d/11923uPwbBZFjjGgGUA6NLw09EwE0CqkOc4q9oUmW1yo/edit?usp=sharing"",""แม่ฮ่องสอน!I528"")"),0)</f>
        <v>0</v>
      </c>
      <c r="J633" s="339">
        <f ca="1">IFERROR(__xludf.DUMMYFUNCTION("IMPORTRANGE(""https://docs.google.com/spreadsheets/d/11923uPwbBZFjjGgGUA6NLw09EwE0CqkOc4q9oUmW1yo/edit?usp=sharing"",""แม่ฮ่องสอน!J528"")"),0)</f>
        <v>0</v>
      </c>
      <c r="K633" s="340">
        <f t="shared" ca="1" si="129"/>
        <v>0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IFERROR(__xludf.DUMMYFUNCTION("IMPORTRANGE(""https://docs.google.com/spreadsheets/d/11923uPwbBZFjjGgGUA6NLw09EwE0CqkOc4q9oUmW1yo/edit?usp=sharing"",""แม่ฮ่องสอน!I529"")"),900000)</f>
        <v>900000</v>
      </c>
      <c r="J634" s="339">
        <f ca="1">IFERROR(__xludf.DUMMYFUNCTION("IMPORTRANGE(""https://docs.google.com/spreadsheets/d/11923uPwbBZFjjGgGUA6NLw09EwE0CqkOc4q9oUmW1yo/edit?usp=sharing"",""แม่ฮ่องสอน!J529"")"),205000)</f>
        <v>205000</v>
      </c>
      <c r="K634" s="340">
        <f t="shared" ca="1" si="129"/>
        <v>22.777777777777779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IFERROR(__xludf.DUMMYFUNCTION("IMPORTRANGE(""https://docs.google.com/spreadsheets/d/11923uPwbBZFjjGgGUA6NLw09EwE0CqkOc4q9oUmW1yo/edit?usp=sharing"",""แม่ฮ่องสอน!I530"")"),30)</f>
        <v>30</v>
      </c>
      <c r="J635" s="502">
        <f ca="1">IFERROR(__xludf.DUMMYFUNCTION("IMPORTRANGE(""https://docs.google.com/spreadsheets/d/11923uPwbBZFjjGgGUA6NLw09EwE0CqkOc4q9oUmW1yo/edit?usp=sharing"",""แม่ฮ่องสอน!J530"")"),6)</f>
        <v>6</v>
      </c>
      <c r="K635" s="484">
        <f t="shared" ca="1" si="129"/>
        <v>20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10" width="13.90625" bestFit="1" customWidth="1"/>
    <col min="11" max="11" width="11" bestFit="1" customWidth="1"/>
    <col min="12" max="13" width="20.08984375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262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5351760</v>
      </c>
      <c r="M8" s="23">
        <f t="shared" ca="1" si="0"/>
        <v>1549785</v>
      </c>
      <c r="N8" s="23">
        <f t="shared" ca="1" si="0"/>
        <v>1820942.0299999998</v>
      </c>
      <c r="O8" s="22">
        <f t="shared" ref="O8:O16" ca="1" si="1">IF(L8&gt;0,N8*100/L8,0)</f>
        <v>34.025106320163829</v>
      </c>
      <c r="P8" s="22">
        <f t="shared" ref="P8:P16" ca="1" si="2">IF(M8&gt;0,N8*100/M8,0)</f>
        <v>117.49642885948694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5351760</v>
      </c>
      <c r="M10" s="30">
        <f t="shared" ca="1" si="4"/>
        <v>1549785</v>
      </c>
      <c r="N10" s="30">
        <f t="shared" ca="1" si="4"/>
        <v>1820942.0299999998</v>
      </c>
      <c r="O10" s="29">
        <f t="shared" ca="1" si="1"/>
        <v>34.025106320163829</v>
      </c>
      <c r="P10" s="29">
        <f t="shared" ca="1" si="2"/>
        <v>117.49642885948694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5139360</v>
      </c>
      <c r="M12" s="38">
        <f t="shared" ca="1" si="6"/>
        <v>1337385</v>
      </c>
      <c r="N12" s="38">
        <f t="shared" ca="1" si="6"/>
        <v>1610947.0299999998</v>
      </c>
      <c r="O12" s="38">
        <f t="shared" ca="1" si="1"/>
        <v>31.345284821456364</v>
      </c>
      <c r="P12" s="38">
        <f t="shared" ca="1" si="2"/>
        <v>120.45499463505271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1833600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3305760</v>
      </c>
      <c r="M14" s="38">
        <f t="shared" si="8"/>
        <v>0</v>
      </c>
      <c r="N14" s="38">
        <f t="shared" ca="1" si="8"/>
        <v>505676.02999999991</v>
      </c>
      <c r="O14" s="38">
        <f t="shared" ca="1" si="1"/>
        <v>15.296816163302839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212400</v>
      </c>
      <c r="M16" s="38">
        <f t="shared" ca="1" si="10"/>
        <v>212400</v>
      </c>
      <c r="N16" s="38">
        <f t="shared" ca="1" si="10"/>
        <v>209995</v>
      </c>
      <c r="O16" s="49">
        <f t="shared" ca="1" si="1"/>
        <v>98.86770244821092</v>
      </c>
      <c r="P16" s="49">
        <f t="shared" ca="1" si="2"/>
        <v>98.86770244821092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2719825</v>
      </c>
      <c r="M18" s="23">
        <f t="shared" ca="1" si="11"/>
        <v>1549785</v>
      </c>
      <c r="N18" s="23">
        <f t="shared" ca="1" si="11"/>
        <v>1315266</v>
      </c>
      <c r="O18" s="22">
        <f t="shared" ref="O18:O20" ca="1" si="12">IF(L18&gt;0,N18*100/L18,0)</f>
        <v>48.358478946255737</v>
      </c>
      <c r="P18" s="22">
        <f t="shared" ref="P18:P26" ca="1" si="13">IF(M18&gt;0,N18*100/M18,0)</f>
        <v>84.867642931116251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2719825</v>
      </c>
      <c r="M20" s="30">
        <f t="shared" ca="1" si="15"/>
        <v>1549785</v>
      </c>
      <c r="N20" s="30">
        <f t="shared" ca="1" si="15"/>
        <v>1315266</v>
      </c>
      <c r="O20" s="29">
        <f t="shared" ca="1" si="12"/>
        <v>48.358478946255737</v>
      </c>
      <c r="P20" s="29">
        <f t="shared" ca="1" si="13"/>
        <v>84.867642931116251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2507425</v>
      </c>
      <c r="M22" s="41">
        <f t="shared" ca="1" si="18"/>
        <v>1337385</v>
      </c>
      <c r="N22" s="38">
        <f t="shared" ca="1" si="18"/>
        <v>1105271</v>
      </c>
      <c r="O22" s="38">
        <f t="shared" ca="1" si="17"/>
        <v>44.079922629789522</v>
      </c>
      <c r="P22" s="38">
        <f t="shared" ca="1" si="13"/>
        <v>82.644189967735542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1833600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673825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212400</v>
      </c>
      <c r="M26" s="49">
        <f t="shared" ca="1" si="22"/>
        <v>212400</v>
      </c>
      <c r="N26" s="49">
        <f t="shared" ca="1" si="22"/>
        <v>209995</v>
      </c>
      <c r="O26" s="49">
        <f t="shared" ca="1" si="17"/>
        <v>98.86770244821092</v>
      </c>
      <c r="P26" s="49">
        <f t="shared" ca="1" si="13"/>
        <v>98.86770244821092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2631935</v>
      </c>
      <c r="M28" s="23">
        <f t="shared" si="23"/>
        <v>0</v>
      </c>
      <c r="N28" s="23">
        <f t="shared" ca="1" si="23"/>
        <v>505676.02999999991</v>
      </c>
      <c r="O28" s="22">
        <f t="shared" ref="O28:O30" ca="1" si="24">IF(L28&gt;0,N28*100/L28,0)</f>
        <v>19.213089608975903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2631935</v>
      </c>
      <c r="M30" s="30">
        <f t="shared" si="27"/>
        <v>0</v>
      </c>
      <c r="N30" s="30">
        <f t="shared" ca="1" si="27"/>
        <v>505676.02999999991</v>
      </c>
      <c r="O30" s="29">
        <f t="shared" ca="1" si="24"/>
        <v>19.213089608975903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2631935</v>
      </c>
      <c r="M32" s="38">
        <f t="shared" si="30"/>
        <v>0</v>
      </c>
      <c r="N32" s="38">
        <f t="shared" ca="1" si="30"/>
        <v>505676.02999999991</v>
      </c>
      <c r="O32" s="38">
        <f t="shared" ca="1" si="29"/>
        <v>19.213089608975903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2631935</v>
      </c>
      <c r="M34" s="38">
        <f t="shared" si="32"/>
        <v>0</v>
      </c>
      <c r="N34" s="38">
        <f t="shared" ca="1" si="32"/>
        <v>505676.02999999991</v>
      </c>
      <c r="O34" s="38">
        <f t="shared" ca="1" si="29"/>
        <v>19.213089608975903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2719825</v>
      </c>
      <c r="M37" s="54">
        <f t="shared" ca="1" si="33"/>
        <v>1549785</v>
      </c>
      <c r="N37" s="54">
        <f t="shared" ca="1" si="33"/>
        <v>1315266</v>
      </c>
      <c r="O37" s="55">
        <f t="shared" ca="1" si="29"/>
        <v>48.358478946255737</v>
      </c>
      <c r="P37" s="55">
        <f t="shared" ca="1" si="25"/>
        <v>84.867642931116251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644400</v>
      </c>
      <c r="M41" s="78">
        <f t="shared" ca="1" si="34"/>
        <v>322200</v>
      </c>
      <c r="N41" s="78">
        <f t="shared" ca="1" si="34"/>
        <v>293865</v>
      </c>
      <c r="O41" s="77">
        <f t="shared" ref="O41:O43" ca="1" si="35">IF(L41&gt;0,N41*100/L41,0)</f>
        <v>45.602886405959033</v>
      </c>
      <c r="P41" s="77">
        <f t="shared" ref="P41:P43" ca="1" si="36">IF(M41&gt;0,N41*100/M41,0)</f>
        <v>91.205772811918067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644400</v>
      </c>
      <c r="M43" s="78">
        <f t="shared" ca="1" si="38"/>
        <v>322200</v>
      </c>
      <c r="N43" s="78">
        <f t="shared" ca="1" si="38"/>
        <v>293865</v>
      </c>
      <c r="O43" s="77">
        <f t="shared" ca="1" si="35"/>
        <v>45.602886405959033</v>
      </c>
      <c r="P43" s="77">
        <f t="shared" ca="1" si="36"/>
        <v>91.205772811918067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644400</v>
      </c>
      <c r="M45" s="49">
        <f ca="1">IFERROR(__xludf.DUMMYFUNCTION("IMPORTRANGE(""https://docs.google.com/spreadsheets/d/1Yj_ptqi66GCucihVvJfMjLAmec39IyEx_6qawtMGysU/edit?usp=sharing"",""สบก!Q32"")"),322200)</f>
        <v>322200</v>
      </c>
      <c r="N45" s="49">
        <f ca="1">IFERROR(__xludf.DUMMYFUNCTION("IMPORTRANGE(""https://docs.google.com/spreadsheets/d/1Yj_ptqi66GCucihVvJfMjLAmec39IyEx_6qawtMGysU/edit?usp=sharing"",""สบก!R32"")"),293865)</f>
        <v>293865</v>
      </c>
      <c r="O45" s="38">
        <f ca="1">IF(L45&gt;0,N45*100/L45,0)</f>
        <v>45.602886405959033</v>
      </c>
      <c r="P45" s="38">
        <f ca="1">IF(M45&gt;0,N45*100/M45,0)</f>
        <v>91.205772811918067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IFERROR(__xludf.DUMMYFUNCTION("IMPORTRANGE(""https://docs.google.com/spreadsheets/d/1Yj_ptqi66GCucihVvJfMjLAmec39IyEx_6qawtMGysU/edit?usp=sharing"",""สบก!M32"")"),644400)</f>
        <v>644400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IFERROR(__xludf.DUMMYFUNCTION("IMPORTRANGE(""https://docs.google.com/spreadsheets/d/1Yj_ptqi66GCucihVvJfMjLAmec39IyEx_6qawtMGysU/edit?usp=sharing"",""สบก!N32"")"),0)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IFERROR(__xludf.DUMMYFUNCTION("IMPORTRANGE(""https://docs.google.com/spreadsheets/d/1Yj_ptqi66GCucihVvJfMjLAmec39IyEx_6qawtMGysU/edit?usp=sharing"",""สบก!O32"")"),0)</f>
        <v>0</v>
      </c>
      <c r="M49" s="49"/>
      <c r="N49" s="49">
        <f ca="1">IFERROR(__xludf.DUMMYFUNCTION("IMPORTRANGE(""https://docs.google.com/spreadsheets/d/1Yj_ptqi66GCucihVvJfMjLAmec39IyEx_6qawtMGysU/edit?usp=sharing"",""สบก!S32"")"),0)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566000</v>
      </c>
      <c r="M53" s="120">
        <f t="shared" ca="1" si="39"/>
        <v>292720</v>
      </c>
      <c r="N53" s="120">
        <f t="shared" ca="1" si="39"/>
        <v>260831</v>
      </c>
      <c r="O53" s="119">
        <f t="shared" ref="O53:O55" ca="1" si="40">IF(L53&gt;0,N53*100/L53,0)</f>
        <v>46.083215547703183</v>
      </c>
      <c r="P53" s="119">
        <f t="shared" ref="P53:P55" ca="1" si="41">IF(M53&gt;0,N53*100/M53,0)</f>
        <v>89.105971576933584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566000</v>
      </c>
      <c r="M55" s="120">
        <f t="shared" ca="1" si="43"/>
        <v>292720</v>
      </c>
      <c r="N55" s="120">
        <f t="shared" ca="1" si="43"/>
        <v>260831</v>
      </c>
      <c r="O55" s="119">
        <f t="shared" ca="1" si="40"/>
        <v>46.083215547703183</v>
      </c>
      <c r="P55" s="119">
        <f t="shared" ca="1" si="41"/>
        <v>89.105971576933584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566000</v>
      </c>
      <c r="M57" s="49">
        <f ca="1">IFERROR(__xludf.DUMMYFUNCTION("IMPORTRANGE(""https://docs.google.com/spreadsheets/d/1Yj_ptqi66GCucihVvJfMjLAmec39IyEx_6qawtMGysU/edit?usp=sharing"",""สบก!Z32"")"),292720)</f>
        <v>292720</v>
      </c>
      <c r="N57" s="49">
        <f ca="1">IFERROR(__xludf.DUMMYFUNCTION("IMPORTRANGE(""https://docs.google.com/spreadsheets/d/1Yj_ptqi66GCucihVvJfMjLAmec39IyEx_6qawtMGysU/edit?usp=sharing"",""สบก!AA32"")"),260831)</f>
        <v>260831</v>
      </c>
      <c r="O57" s="38">
        <f ca="1">IF(L57&gt;0,N57*100/L57,0)</f>
        <v>46.083215547703183</v>
      </c>
      <c r="P57" s="38">
        <f ca="1">IF(M57&gt;0,N57*100/M57,0)</f>
        <v>89.105971576933584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IFERROR(__xludf.DUMMYFUNCTION("IMPORTRANGE(""https://docs.google.com/spreadsheets/d/1Yj_ptqi66GCucihVvJfMjLAmec39IyEx_6qawtMGysU/edit?usp=sharing"",""สบก!V32"")"),566000)</f>
        <v>566000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IFERROR(__xludf.DUMMYFUNCTION("IMPORTRANGE(""https://docs.google.com/spreadsheets/d/1Yj_ptqi66GCucihVvJfMjLAmec39IyEx_6qawtMGysU/edit?usp=sharing"",""สบก!W32"")"),0)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IFERROR(__xludf.DUMMYFUNCTION("IMPORTRANGE(""https://docs.google.com/spreadsheets/d/1Yj_ptqi66GCucihVvJfMjLAmec39IyEx_6qawtMGysU/edit?usp=sharing"",""สบก!X32"")"),0)</f>
        <v>0</v>
      </c>
      <c r="M61" s="49"/>
      <c r="N61" s="49">
        <f ca="1">IFERROR(__xludf.DUMMYFUNCTION("IMPORTRANGE(""https://docs.google.com/spreadsheets/d/1Yj_ptqi66GCucihVvJfMjLAmec39IyEx_6qawtMGysU/edit?usp=sharing"",""สบก!AB32"")"),0)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IFERROR(__xludf.DUMMYFUNCTION("IMPORTRANGE(""https://docs.google.com/spreadsheets/d/11923uPwbBZFjjGgGUA6NLw09EwE0CqkOc4q9oUmW1yo/edit?usp=sharing"",""ลำปาง!I9"")"),0)</f>
        <v>0</v>
      </c>
      <c r="J64" s="141">
        <f ca="1">IFERROR(__xludf.DUMMYFUNCTION("IMPORTRANGE(""https://docs.google.com/spreadsheets/d/11923uPwbBZFjjGgGUA6NLw09EwE0CqkOc4q9oUmW1yo/edit?usp=sharing"",""ลำปาง!J9"")"),0)</f>
        <v>0</v>
      </c>
      <c r="K64" s="142">
        <f t="shared" ref="K64:K65" ca="1" si="44">IF(I64&gt;0,J64*100/I64,0)</f>
        <v>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IFERROR(__xludf.DUMMYFUNCTION("IMPORTRANGE(""https://docs.google.com/spreadsheets/d/11923uPwbBZFjjGgGUA6NLw09EwE0CqkOc4q9oUmW1yo/edit?usp=sharing"",""ลำปาง!I10"")"),0)</f>
        <v>0</v>
      </c>
      <c r="J65" s="141">
        <f ca="1">IFERROR(__xludf.DUMMYFUNCTION("IMPORTRANGE(""https://docs.google.com/spreadsheets/d/11923uPwbBZFjjGgGUA6NLw09EwE0CqkOc4q9oUmW1yo/edit?usp=sharing"",""ลำปาง!J10"")"),0)</f>
        <v>0</v>
      </c>
      <c r="K65" s="142">
        <f t="shared" ca="1" si="44"/>
        <v>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0</v>
      </c>
      <c r="M66" s="151">
        <f t="shared" ca="1" si="45"/>
        <v>0</v>
      </c>
      <c r="N66" s="151">
        <f t="shared" ca="1" si="45"/>
        <v>0</v>
      </c>
      <c r="O66" s="150">
        <f t="shared" ref="O66:O68" ca="1" si="46">IF(L66&gt;0,N66*100/L66,0)</f>
        <v>0</v>
      </c>
      <c r="P66" s="150">
        <f t="shared" ref="P66:P68" ca="1" si="47">IF(M66&gt;0,N66*100/M66,0)</f>
        <v>0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0</v>
      </c>
      <c r="M68" s="87">
        <f t="shared" ca="1" si="49"/>
        <v>0</v>
      </c>
      <c r="N68" s="87">
        <f t="shared" ca="1" si="49"/>
        <v>0</v>
      </c>
      <c r="O68" s="155">
        <f t="shared" ca="1" si="46"/>
        <v>0</v>
      </c>
      <c r="P68" s="155">
        <f t="shared" ca="1" si="47"/>
        <v>0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IFERROR(__xludf.DUMMYFUNCTION("IMPORTRANGE(""https://docs.google.com/spreadsheets/d/1Yj_ptqi66GCucihVvJfMjLAmec39IyEx_6qawtMGysU/edit?usp=sharing"",""สบก!AI32"")"),0)</f>
        <v>0</v>
      </c>
      <c r="N70" s="168">
        <f ca="1">IFERROR(__xludf.DUMMYFUNCTION("IMPORTRANGE(""https://docs.google.com/spreadsheets/d/1Yj_ptqi66GCucihVvJfMjLAmec39IyEx_6qawtMGysU/edit?usp=sharing"",""สบก!AJ32"")"),0)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IFERROR(__xludf.DUMMYFUNCTION("IMPORTRANGE(""https://docs.google.com/spreadsheets/d/1Yj_ptqi66GCucihVvJfMjLAmec39IyEx_6qawtMGysU/edit?usp=sharing"",""สบก!AE32"")"),0)</f>
        <v>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IFERROR(__xludf.DUMMYFUNCTION("IMPORTRANGE(""https://docs.google.com/spreadsheets/d/1Yj_ptqi66GCucihVvJfMjLAmec39IyEx_6qawtMGysU/edit?usp=sharing"",""สบก!AF32"")"),0)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IFERROR(__xludf.DUMMYFUNCTION("IMPORTRANGE(""https://docs.google.com/spreadsheets/d/1Yj_ptqi66GCucihVvJfMjLAmec39IyEx_6qawtMGysU/edit?usp=sharing"",""สบก!AG32"")"),0)</f>
        <v>0</v>
      </c>
      <c r="M74" s="49"/>
      <c r="N74" s="49">
        <f ca="1">IFERROR(__xludf.DUMMYFUNCTION("IMPORTRANGE(""https://docs.google.com/spreadsheets/d/1Yj_ptqi66GCucihVvJfMjLAmec39IyEx_6qawtMGysU/edit?usp=sharing"",""สบก!AK32"")"),0)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IFERROR(__xludf.DUMMYFUNCTION("IMPORTRANGE(""https://docs.google.com/spreadsheets/d/11923uPwbBZFjjGgGUA6NLw09EwE0CqkOc4q9oUmW1yo/edit?usp=sharing"",""ลำปาง!J16"")"),0)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IFERROR(__xludf.DUMMYFUNCTION("IMPORTRANGE(""https://docs.google.com/spreadsheets/d/11923uPwbBZFjjGgGUA6NLw09EwE0CqkOc4q9oUmW1yo/edit?usp=sharing"",""ลำปาง!J17"")"),0)</f>
        <v>0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IFERROR(__xludf.DUMMYFUNCTION("IMPORTRANGE(""https://docs.google.com/spreadsheets/d/11923uPwbBZFjjGgGUA6NLw09EwE0CqkOc4q9oUmW1yo/edit?usp=sharing"",""ลำปาง!J18"")"),0)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IFERROR(__xludf.DUMMYFUNCTION("IMPORTRANGE(""https://docs.google.com/spreadsheets/d/11923uPwbBZFjjGgGUA6NLw09EwE0CqkOc4q9oUmW1yo/edit?usp=sharing"",""ลำปาง!J19"")"),0)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IFERROR(__xludf.DUMMYFUNCTION("IMPORTRANGE(""https://docs.google.com/spreadsheets/d/11923uPwbBZFjjGgGUA6NLw09EwE0CqkOc4q9oUmW1yo/edit?usp=sharing"",""ลำปาง!I20"")"),0)</f>
        <v>0</v>
      </c>
      <c r="J80" s="200">
        <f ca="1">IFERROR(__xludf.DUMMYFUNCTION("IMPORTRANGE(""https://docs.google.com/spreadsheets/d/11923uPwbBZFjjGgGUA6NLw09EwE0CqkOc4q9oUmW1yo/edit?usp=sharing"",""ลำปาง!J20"")"),0)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IFERROR(__xludf.DUMMYFUNCTION("IMPORTRANGE(""https://docs.google.com/spreadsheets/d/11923uPwbBZFjjGgGUA6NLw09EwE0CqkOc4q9oUmW1yo/edit?usp=sharing"",""ลำปาง!I21"")"),0)</f>
        <v>0</v>
      </c>
      <c r="J81" s="200">
        <f ca="1">IFERROR(__xludf.DUMMYFUNCTION("IMPORTRANGE(""https://docs.google.com/spreadsheets/d/11923uPwbBZFjjGgGUA6NLw09EwE0CqkOc4q9oUmW1yo/edit?usp=sharing"",""ลำปาง!J21"")"),0)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IFERROR(__xludf.DUMMYFUNCTION("IMPORTRANGE(""https://docs.google.com/spreadsheets/d/11923uPwbBZFjjGgGUA6NLw09EwE0CqkOc4q9oUmW1yo/edit?usp=sharing"",""ลำปาง!I22"")"),0)</f>
        <v>0</v>
      </c>
      <c r="J82" s="203">
        <f ca="1">IFERROR(__xludf.DUMMYFUNCTION("IMPORTRANGE(""https://docs.google.com/spreadsheets/d/11923uPwbBZFjjGgGUA6NLw09EwE0CqkOc4q9oUmW1yo/edit?usp=sharing"",""ลำปาง!J22"")"),0)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IFERROR(__xludf.DUMMYFUNCTION("IMPORTRANGE(""https://docs.google.com/spreadsheets/d/11923uPwbBZFjjGgGUA6NLw09EwE0CqkOc4q9oUmW1yo/edit?usp=sharing"",""ลำปาง!I23"")"),0)</f>
        <v>0</v>
      </c>
      <c r="J83" s="203">
        <f ca="1">IFERROR(__xludf.DUMMYFUNCTION("IMPORTRANGE(""https://docs.google.com/spreadsheets/d/11923uPwbBZFjjGgGUA6NLw09EwE0CqkOc4q9oUmW1yo/edit?usp=sharing"",""ลำปาง!J23"")"),0)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IFERROR(__xludf.DUMMYFUNCTION("IMPORTRANGE(""https://docs.google.com/spreadsheets/d/11923uPwbBZFjjGgGUA6NLw09EwE0CqkOc4q9oUmW1yo/edit?usp=sharing"",""ลำปาง!I24"")"),0)</f>
        <v>0</v>
      </c>
      <c r="J84" s="188">
        <f ca="1">IFERROR(__xludf.DUMMYFUNCTION("IMPORTRANGE(""https://docs.google.com/spreadsheets/d/11923uPwbBZFjjGgGUA6NLw09EwE0CqkOc4q9oUmW1yo/edit?usp=sharing"",""ลำปาง!J24"")"),0)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IFERROR(__xludf.DUMMYFUNCTION("IMPORTRANGE(""https://docs.google.com/spreadsheets/d/11923uPwbBZFjjGgGUA6NLw09EwE0CqkOc4q9oUmW1yo/edit?usp=sharing"",""ลำปาง!I25"")"),0)</f>
        <v>0</v>
      </c>
      <c r="J85" s="188">
        <f ca="1">IFERROR(__xludf.DUMMYFUNCTION("IMPORTRANGE(""https://docs.google.com/spreadsheets/d/11923uPwbBZFjjGgGUA6NLw09EwE0CqkOc4q9oUmW1yo/edit?usp=sharing"",""ลำปาง!J25"")"),0)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IFERROR(__xludf.DUMMYFUNCTION("IMPORTRANGE(""https://docs.google.com/spreadsheets/d/11923uPwbBZFjjGgGUA6NLw09EwE0CqkOc4q9oUmW1yo/edit?usp=sharing"",""ลำปาง!I26"")"),0)</f>
        <v>0</v>
      </c>
      <c r="J86" s="203">
        <f ca="1">IFERROR(__xludf.DUMMYFUNCTION("IMPORTRANGE(""https://docs.google.com/spreadsheets/d/11923uPwbBZFjjGgGUA6NLw09EwE0CqkOc4q9oUmW1yo/edit?usp=sharing"",""ลำปาง!J26"")"),0)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IFERROR(__xludf.DUMMYFUNCTION("IMPORTRANGE(""https://docs.google.com/spreadsheets/d/11923uPwbBZFjjGgGUA6NLw09EwE0CqkOc4q9oUmW1yo/edit?usp=sharing"",""ลำปาง!I27"")"),0)</f>
        <v>0</v>
      </c>
      <c r="J87" s="203">
        <f ca="1">IFERROR(__xludf.DUMMYFUNCTION("IMPORTRANGE(""https://docs.google.com/spreadsheets/d/11923uPwbBZFjjGgGUA6NLw09EwE0CqkOc4q9oUmW1yo/edit?usp=sharing"",""ลำปาง!J27"")"),0)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IFERROR(__xludf.DUMMYFUNCTION("IMPORTRANGE(""https://docs.google.com/spreadsheets/d/11923uPwbBZFjjGgGUA6NLw09EwE0CqkOc4q9oUmW1yo/edit?usp=sharing"",""ลำปาง!I28"")"),0)</f>
        <v>0</v>
      </c>
      <c r="J88" s="203">
        <f ca="1">IFERROR(__xludf.DUMMYFUNCTION("IMPORTRANGE(""https://docs.google.com/spreadsheets/d/11923uPwbBZFjjGgGUA6NLw09EwE0CqkOc4q9oUmW1yo/edit?usp=sharing"",""ลำปาง!J28"")"),0)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IFERROR(__xludf.DUMMYFUNCTION("IMPORTRANGE(""https://docs.google.com/spreadsheets/d/11923uPwbBZFjjGgGUA6NLw09EwE0CqkOc4q9oUmW1yo/edit?usp=sharing"",""ลำปาง!J29"")"),0)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IFERROR(__xludf.DUMMYFUNCTION("IMPORTRANGE(""https://docs.google.com/spreadsheets/d/11923uPwbBZFjjGgGUA6NLw09EwE0CqkOc4q9oUmW1yo/edit?usp=sharing"",""ลำปาง!J30"")"),0)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IFERROR(__xludf.DUMMYFUNCTION("IMPORTRANGE(""https://docs.google.com/spreadsheets/d/11923uPwbBZFjjGgGUA6NLw09EwE0CqkOc4q9oUmW1yo/edit?usp=sharing"",""ลำปาง!I32"")"),4)</f>
        <v>4</v>
      </c>
      <c r="J92" s="141">
        <f ca="1">IFERROR(__xludf.DUMMYFUNCTION("IMPORTRANGE(""https://docs.google.com/spreadsheets/d/11923uPwbBZFjjGgGUA6NLw09EwE0CqkOc4q9oUmW1yo/edit?usp=sharing"",""ลำปาง!J32"")"),0)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IFERROR(__xludf.DUMMYFUNCTION("IMPORTRANGE(""https://docs.google.com/spreadsheets/d/11923uPwbBZFjjGgGUA6NLw09EwE0CqkOc4q9oUmW1yo/edit?usp=sharing"",""ลำปาง!I33"")"),1)</f>
        <v>1</v>
      </c>
      <c r="J93" s="141">
        <f ca="1">IFERROR(__xludf.DUMMYFUNCTION("IMPORTRANGE(""https://docs.google.com/spreadsheets/d/11923uPwbBZFjjGgGUA6NLw09EwE0CqkOc4q9oUmW1yo/edit?usp=sharing"",""ลำปาง!J33"")"),0)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214500</v>
      </c>
      <c r="M94" s="151">
        <f t="shared" ca="1" si="52"/>
        <v>161130</v>
      </c>
      <c r="N94" s="151">
        <f t="shared" ca="1" si="52"/>
        <v>108285</v>
      </c>
      <c r="O94" s="150">
        <f t="shared" ref="O94:O96" ca="1" si="53">IF(L94&gt;0,N94*100/L94,0)</f>
        <v>50.48251748251748</v>
      </c>
      <c r="P94" s="150">
        <f t="shared" ref="P94:P96" ca="1" si="54">IF(M94&gt;0,N94*100/M94,0)</f>
        <v>67.203500279277606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214500</v>
      </c>
      <c r="M96" s="87">
        <f t="shared" ca="1" si="56"/>
        <v>161130</v>
      </c>
      <c r="N96" s="87">
        <f t="shared" ca="1" si="56"/>
        <v>108285</v>
      </c>
      <c r="O96" s="155">
        <f t="shared" ca="1" si="53"/>
        <v>50.48251748251748</v>
      </c>
      <c r="P96" s="155">
        <f t="shared" ca="1" si="54"/>
        <v>67.203500279277606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IFERROR(__xludf.DUMMYFUNCTION("IMPORTRANGE(""https://docs.google.com/spreadsheets/d/1Yj_ptqi66GCucihVvJfMjLAmec39IyEx_6qawtMGysU/edit?usp=sharing"",""สบก!AR32"")"),68730)</f>
        <v>68730</v>
      </c>
      <c r="N98" s="168">
        <f ca="1">IFERROR(__xludf.DUMMYFUNCTION("IMPORTRANGE(""https://docs.google.com/spreadsheets/d/1Yj_ptqi66GCucihVvJfMjLAmec39IyEx_6qawtMGysU/edit?usp=sharing"",""สบก!AS32"")"),18290)</f>
        <v>18290</v>
      </c>
      <c r="O98" s="168">
        <f ca="1">IF(L98&gt;0,N98*100/L98,0)</f>
        <v>14.97952497952498</v>
      </c>
      <c r="P98" s="168">
        <f ca="1">IF(M98&gt;0,N98*100/M98,0)</f>
        <v>26.611377855376109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IFERROR(__xludf.DUMMYFUNCTION("IMPORTRANGE(""https://docs.google.com/spreadsheets/d/1Yj_ptqi66GCucihVvJfMjLAmec39IyEx_6qawtMGysU/edit?usp=sharing"",""สบก!AN32"")"),0)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IFERROR(__xludf.DUMMYFUNCTION("IMPORTRANGE(""https://docs.google.com/spreadsheets/d/1Yj_ptqi66GCucihVvJfMjLAmec39IyEx_6qawtMGysU/edit?usp=sharing"",""สบก!AO32"")"),122100)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IFERROR(__xludf.DUMMYFUNCTION("IMPORTRANGE(""https://docs.google.com/spreadsheets/d/1Yj_ptqi66GCucihVvJfMjLAmec39IyEx_6qawtMGysU/edit?usp=sharing"",""สบก!AP32"")"),92400)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IFERROR(__xludf.DUMMYFUNCTION("IMPORTRANGE(""https://docs.google.com/spreadsheets/d/1Yj_ptqi66GCucihVvJfMjLAmec39IyEx_6qawtMGysU/edit?usp=sharing"",""สบก!AT32"")"),89995)</f>
        <v>89995</v>
      </c>
      <c r="O102" s="49">
        <f ca="1">IF(L102&gt;0,N102*100/L102,0)</f>
        <v>97.397186147186147</v>
      </c>
      <c r="P102" s="49">
        <f ca="1">IF(M102&gt;0,N102*100/M102,0)</f>
        <v>97.397186147186147</v>
      </c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IFERROR(__xludf.DUMMYFUNCTION("IMPORTRANGE(""https://docs.google.com/spreadsheets/d/11923uPwbBZFjjGgGUA6NLw09EwE0CqkOc4q9oUmW1yo/edit?usp=sharing"",""ลำปาง!J39"")"),0)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IFERROR(__xludf.DUMMYFUNCTION("IMPORTRANGE(""https://docs.google.com/spreadsheets/d/11923uPwbBZFjjGgGUA6NLw09EwE0CqkOc4q9oUmW1yo/edit?usp=sharing"",""ลำปาง!J40"")"),1)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IFERROR(__xludf.DUMMYFUNCTION("IMPORTRANGE(""https://docs.google.com/spreadsheets/d/11923uPwbBZFjjGgGUA6NLw09EwE0CqkOc4q9oUmW1yo/edit?usp=sharing"",""ลำปาง!J41"")"),1)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IFERROR(__xludf.DUMMYFUNCTION("IMPORTRANGE(""https://docs.google.com/spreadsheets/d/11923uPwbBZFjjGgGUA6NLw09EwE0CqkOc4q9oUmW1yo/edit?usp=sharing"",""ลำปาง!J42"")"),0)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IFERROR(__xludf.DUMMYFUNCTION("IMPORTRANGE(""https://docs.google.com/spreadsheets/d/11923uPwbBZFjjGgGUA6NLw09EwE0CqkOc4q9oUmW1yo/edit?usp=sharing"",""ลำปาง!I43"")"),1)</f>
        <v>1</v>
      </c>
      <c r="J108" s="203">
        <f ca="1">IFERROR(__xludf.DUMMYFUNCTION("IMPORTRANGE(""https://docs.google.com/spreadsheets/d/11923uPwbBZFjjGgGUA6NLw09EwE0CqkOc4q9oUmW1yo/edit?usp=sharing"",""ลำปาง!J43"")"),0)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IFERROR(__xludf.DUMMYFUNCTION("IMPORTRANGE(""https://docs.google.com/spreadsheets/d/11923uPwbBZFjjGgGUA6NLw09EwE0CqkOc4q9oUmW1yo/edit?usp=sharing"",""ลำปาง!I44"")"),4)</f>
        <v>4</v>
      </c>
      <c r="J109" s="203">
        <f ca="1">IFERROR(__xludf.DUMMYFUNCTION("IMPORTRANGE(""https://docs.google.com/spreadsheets/d/11923uPwbBZFjjGgGUA6NLw09EwE0CqkOc4q9oUmW1yo/edit?usp=sharing"",""ลำปาง!J44"")"),0)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IFERROR(__xludf.DUMMYFUNCTION("IMPORTRANGE(""https://docs.google.com/spreadsheets/d/11923uPwbBZFjjGgGUA6NLw09EwE0CqkOc4q9oUmW1yo/edit?usp=sharing"",""ลำปาง!I45"")"),4)</f>
        <v>4</v>
      </c>
      <c r="J110" s="203">
        <f ca="1">IFERROR(__xludf.DUMMYFUNCTION("IMPORTRANGE(""https://docs.google.com/spreadsheets/d/11923uPwbBZFjjGgGUA6NLw09EwE0CqkOc4q9oUmW1yo/edit?usp=sharing"",""ลำปาง!J45"")"),4)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IFERROR(__xludf.DUMMYFUNCTION("IMPORTRANGE(""https://docs.google.com/spreadsheets/d/11923uPwbBZFjjGgGUA6NLw09EwE0CqkOc4q9oUmW1yo/edit?usp=sharing"",""ลำปาง!I46"")"),4)</f>
        <v>4</v>
      </c>
      <c r="J111" s="203">
        <f ca="1">IFERROR(__xludf.DUMMYFUNCTION("IMPORTRANGE(""https://docs.google.com/spreadsheets/d/11923uPwbBZFjjGgGUA6NLw09EwE0CqkOc4q9oUmW1yo/edit?usp=sharing"",""ลำปาง!J46"")"),4)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IFERROR(__xludf.DUMMYFUNCTION("IMPORTRANGE(""https://docs.google.com/spreadsheets/d/11923uPwbBZFjjGgGUA6NLw09EwE0CqkOc4q9oUmW1yo/edit?usp=sharing"",""ลำปาง!I47"")"),4)</f>
        <v>4</v>
      </c>
      <c r="J112" s="203">
        <f ca="1">IFERROR(__xludf.DUMMYFUNCTION("IMPORTRANGE(""https://docs.google.com/spreadsheets/d/11923uPwbBZFjjGgGUA6NLw09EwE0CqkOc4q9oUmW1yo/edit?usp=sharing"",""ลำปาง!J47"")"),0)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IFERROR(__xludf.DUMMYFUNCTION("IMPORTRANGE(""https://docs.google.com/spreadsheets/d/11923uPwbBZFjjGgGUA6NLw09EwE0CqkOc4q9oUmW1yo/edit?usp=sharing"",""ลำปาง!I48"")"),1)</f>
        <v>1</v>
      </c>
      <c r="J113" s="203">
        <f ca="1">IFERROR(__xludf.DUMMYFUNCTION("IMPORTRANGE(""https://docs.google.com/spreadsheets/d/11923uPwbBZFjjGgGUA6NLw09EwE0CqkOc4q9oUmW1yo/edit?usp=sharing"",""ลำปาง!J48"")"),0)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IFERROR(__xludf.DUMMYFUNCTION("IMPORTRANGE(""https://docs.google.com/spreadsheets/d/11923uPwbBZFjjGgGUA6NLw09EwE0CqkOc4q9oUmW1yo/edit?usp=sharing"",""ลำปาง!J49"")"),0)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IFERROR(__xludf.DUMMYFUNCTION("IMPORTRANGE(""https://docs.google.com/spreadsheets/d/11923uPwbBZFjjGgGUA6NLw09EwE0CqkOc4q9oUmW1yo/edit?usp=sharing"",""ลำปาง!J50"")"),0)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IFERROR(__xludf.DUMMYFUNCTION("IMPORTRANGE(""https://docs.google.com/spreadsheets/d/11923uPwbBZFjjGgGUA6NLw09EwE0CqkOc4q9oUmW1yo/edit?usp=sharing"",""ลำปาง!I52"")"),0)</f>
        <v>0</v>
      </c>
      <c r="J117" s="141">
        <f ca="1">IFERROR(__xludf.DUMMYFUNCTION("IMPORTRANGE(""https://docs.google.com/spreadsheets/d/11923uPwbBZFjjGgGUA6NLw09EwE0CqkOc4q9oUmW1yo/edit?usp=sharing"",""ลำปาง!J52"")"),0)</f>
        <v>0</v>
      </c>
      <c r="K117" s="142">
        <f ca="1">IF(I117&gt;0,J117*100/I117,0)</f>
        <v>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0</v>
      </c>
      <c r="M118" s="151">
        <f t="shared" ca="1" si="58"/>
        <v>0</v>
      </c>
      <c r="N118" s="151">
        <f t="shared" ca="1" si="58"/>
        <v>0</v>
      </c>
      <c r="O118" s="150">
        <f t="shared" ref="O118:O120" ca="1" si="59">IF(L118&gt;0,N118*100/L118,0)</f>
        <v>0</v>
      </c>
      <c r="P118" s="150">
        <f t="shared" ref="P118:P120" ca="1" si="60">IF(M118&gt;0,N118*100/M118,0)</f>
        <v>0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0</v>
      </c>
      <c r="M120" s="87">
        <f t="shared" ca="1" si="62"/>
        <v>0</v>
      </c>
      <c r="N120" s="87">
        <f t="shared" ca="1" si="62"/>
        <v>0</v>
      </c>
      <c r="O120" s="155">
        <f t="shared" ca="1" si="59"/>
        <v>0</v>
      </c>
      <c r="P120" s="155">
        <f t="shared" ca="1" si="60"/>
        <v>0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IFERROR(__xludf.DUMMYFUNCTION("IMPORTRANGE(""https://docs.google.com/spreadsheets/d/1Yj_ptqi66GCucihVvJfMjLAmec39IyEx_6qawtMGysU/edit?usp=sharing"",""สบก!BA32"")"),0)</f>
        <v>0</v>
      </c>
      <c r="N122" s="168">
        <f ca="1">IFERROR(__xludf.DUMMYFUNCTION("IMPORTRANGE(""https://docs.google.com/spreadsheets/d/1Yj_ptqi66GCucihVvJfMjLAmec39IyEx_6qawtMGysU/edit?usp=sharing"",""สบก!BB32"")"),0)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IFERROR(__xludf.DUMMYFUNCTION("IMPORTRANGE(""https://docs.google.com/spreadsheets/d/1Yj_ptqi66GCucihVvJfMjLAmec39IyEx_6qawtMGysU/edit?usp=sharing"",""สบก!AW32"")"),0)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IFERROR(__xludf.DUMMYFUNCTION("IMPORTRANGE(""https://docs.google.com/spreadsheets/d/1Yj_ptqi66GCucihVvJfMjLAmec39IyEx_6qawtMGysU/edit?usp=sharing"",""สบก!AX32"")"),0)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IFERROR(__xludf.DUMMYFUNCTION("IMPORTRANGE(""https://docs.google.com/spreadsheets/d/1Yj_ptqi66GCucihVvJfMjLAmec39IyEx_6qawtMGysU/edit?usp=sharing"",""สบก!AY32"")"),0)</f>
        <v>0</v>
      </c>
      <c r="M126" s="49"/>
      <c r="N126" s="49">
        <f ca="1">IFERROR(__xludf.DUMMYFUNCTION("IMPORTRANGE(""https://docs.google.com/spreadsheets/d/1Yj_ptqi66GCucihVvJfMjLAmec39IyEx_6qawtMGysU/edit?usp=sharing"",""สบก!BC32"")"),0)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263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IFERROR(__xludf.DUMMYFUNCTION("IMPORTRANGE(""https://docs.google.com/spreadsheets/d/11923uPwbBZFjjGgGUA6NLw09EwE0CqkOc4q9oUmW1yo/edit?usp=sharing"",""ลำปาง!J58"")"),0)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IFERROR(__xludf.DUMMYFUNCTION("IMPORTRANGE(""https://docs.google.com/spreadsheets/d/11923uPwbBZFjjGgGUA6NLw09EwE0CqkOc4q9oUmW1yo/edit?usp=sharing"",""ลำปาง!J59"")"),0)</f>
        <v>0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IFERROR(__xludf.DUMMYFUNCTION("IMPORTRANGE(""https://docs.google.com/spreadsheets/d/11923uPwbBZFjjGgGUA6NLw09EwE0CqkOc4q9oUmW1yo/edit?usp=sharing"",""ลำปาง!J60"")"),0)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IFERROR(__xludf.DUMMYFUNCTION("IMPORTRANGE(""https://docs.google.com/spreadsheets/d/11923uPwbBZFjjGgGUA6NLw09EwE0CqkOc4q9oUmW1yo/edit?usp=sharing"",""ลำปาง!J61"")"),0)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IFERROR(__xludf.DUMMYFUNCTION("IMPORTRANGE(""https://docs.google.com/spreadsheets/d/11923uPwbBZFjjGgGUA6NLw09EwE0CqkOc4q9oUmW1yo/edit?usp=sharing"",""ลำปาง!I62"")"),0)</f>
        <v>0</v>
      </c>
      <c r="J132" s="203">
        <f ca="1">IFERROR(__xludf.DUMMYFUNCTION("IMPORTRANGE(""https://docs.google.com/spreadsheets/d/11923uPwbBZFjjGgGUA6NLw09EwE0CqkOc4q9oUmW1yo/edit?usp=sharing"",""ลำปาง!J62"")"),0)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IFERROR(__xludf.DUMMYFUNCTION("IMPORTRANGE(""https://docs.google.com/spreadsheets/d/11923uPwbBZFjjGgGUA6NLw09EwE0CqkOc4q9oUmW1yo/edit?usp=sharing"",""ลำปาง!I63"")"),0)</f>
        <v>0</v>
      </c>
      <c r="J133" s="203">
        <f ca="1">IFERROR(__xludf.DUMMYFUNCTION("IMPORTRANGE(""https://docs.google.com/spreadsheets/d/11923uPwbBZFjjGgGUA6NLw09EwE0CqkOc4q9oUmW1yo/edit?usp=sharing"",""ลำปาง!J63"")"),0)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IFERROR(__xludf.DUMMYFUNCTION("IMPORTRANGE(""https://docs.google.com/spreadsheets/d/11923uPwbBZFjjGgGUA6NLw09EwE0CqkOc4q9oUmW1yo/edit?usp=sharing"",""ลำปาง!J64"")"),0)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IFERROR(__xludf.DUMMYFUNCTION("IMPORTRANGE(""https://docs.google.com/spreadsheets/d/11923uPwbBZFjjGgGUA6NLw09EwE0CqkOc4q9oUmW1yo/edit?usp=sharing"",""ลำปาง!J65"")"),0)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IFERROR(__xludf.DUMMYFUNCTION("IMPORTRANGE(""https://docs.google.com/spreadsheets/d/11923uPwbBZFjjGgGUA6NLw09EwE0CqkOc4q9oUmW1yo/edit?usp=sharing"",""ลำปาง!I68"")"),0)</f>
        <v>0</v>
      </c>
      <c r="J138" s="266">
        <f ca="1">IFERROR(__xludf.DUMMYFUNCTION("IMPORTRANGE(""https://docs.google.com/spreadsheets/d/11923uPwbBZFjjGgGUA6NLw09EwE0CqkOc4q9oUmW1yo/edit?usp=sharing"",""ลำปาง!J68"")"),0)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69000</v>
      </c>
      <c r="M140" s="151">
        <f t="shared" ca="1" si="64"/>
        <v>53750</v>
      </c>
      <c r="N140" s="151">
        <f t="shared" ca="1" si="64"/>
        <v>45383</v>
      </c>
      <c r="O140" s="150">
        <f t="shared" ref="O140:O142" ca="1" si="65">IF(L140&gt;0,N140*100/L140,0)</f>
        <v>65.772463768115941</v>
      </c>
      <c r="P140" s="150">
        <f t="shared" ref="P140:P142" ca="1" si="66">IF(M140&gt;0,N140*100/M140,0)</f>
        <v>84.433488372093024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69000</v>
      </c>
      <c r="M142" s="87">
        <f t="shared" ca="1" si="68"/>
        <v>53750</v>
      </c>
      <c r="N142" s="87">
        <f t="shared" ca="1" si="68"/>
        <v>45383</v>
      </c>
      <c r="O142" s="155">
        <f t="shared" ca="1" si="65"/>
        <v>65.772463768115941</v>
      </c>
      <c r="P142" s="155">
        <f t="shared" ca="1" si="66"/>
        <v>84.433488372093024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IFERROR(__xludf.DUMMYFUNCTION("IMPORTRANGE(""https://docs.google.com/spreadsheets/d/1Yj_ptqi66GCucihVvJfMjLAmec39IyEx_6qawtMGysU/edit?usp=sharing"",""สบก!BJ32"")"),53750)</f>
        <v>53750</v>
      </c>
      <c r="N144" s="168">
        <f ca="1">IFERROR(__xludf.DUMMYFUNCTION("IMPORTRANGE(""https://docs.google.com/spreadsheets/d/1Yj_ptqi66GCucihVvJfMjLAmec39IyEx_6qawtMGysU/edit?usp=sharing"",""สบก!BK32"")"),45383)</f>
        <v>45383</v>
      </c>
      <c r="O144" s="168">
        <f ca="1">IF(L144&gt;0,N144*100/L144,0)</f>
        <v>65.772463768115941</v>
      </c>
      <c r="P144" s="168">
        <f ca="1">IF(M144&gt;0,N144*100/M144,0)</f>
        <v>84.433488372093024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IFERROR(__xludf.DUMMYFUNCTION("IMPORTRANGE(""https://docs.google.com/spreadsheets/d/1Yj_ptqi66GCucihVvJfMjLAmec39IyEx_6qawtMGysU/edit?usp=sharing"",""สบก!BF32"")"),0)</f>
        <v>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IFERROR(__xludf.DUMMYFUNCTION("IMPORTRANGE(""https://docs.google.com/spreadsheets/d/1Yj_ptqi66GCucihVvJfMjLAmec39IyEx_6qawtMGysU/edit?usp=sharing"",""สบก!BG32"")"),69000)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IFERROR(__xludf.DUMMYFUNCTION("IMPORTRANGE(""https://docs.google.com/spreadsheets/d/1Yj_ptqi66GCucihVvJfMjLAmec39IyEx_6qawtMGysU/edit?usp=sharing"",""สบก!BH32"")"),0)</f>
        <v>0</v>
      </c>
      <c r="M148" s="49"/>
      <c r="N148" s="49">
        <f ca="1">IFERROR(__xludf.DUMMYFUNCTION("IMPORTRANGE(""https://docs.google.com/spreadsheets/d/1Yj_ptqi66GCucihVvJfMjLAmec39IyEx_6qawtMGysU/edit?usp=sharing"",""สบก!BL32"")"),0)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IFERROR(__xludf.DUMMYFUNCTION("IMPORTRANGE(""https://docs.google.com/spreadsheets/d/11923uPwbBZFjjGgGUA6NLw09EwE0CqkOc4q9oUmW1yo/edit?usp=sharing"",""ลำปาง!I74"")"),4)</f>
        <v>4</v>
      </c>
      <c r="J149" s="274">
        <f ca="1">IFERROR(__xludf.DUMMYFUNCTION("IMPORTRANGE(""https://docs.google.com/spreadsheets/d/11923uPwbBZFjjGgGUA6NLw09EwE0CqkOc4q9oUmW1yo/edit?usp=sharing"",""ลำปาง!J74"")"),2)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IFERROR(__xludf.DUMMYFUNCTION("IMPORTRANGE(""https://docs.google.com/spreadsheets/d/11923uPwbBZFjjGgGUA6NLw09EwE0CqkOc4q9oUmW1yo/edit?usp=sharing"",""ลำปาง!J79"")"),0)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IFERROR(__xludf.DUMMYFUNCTION("IMPORTRANGE(""https://docs.google.com/spreadsheets/d/11923uPwbBZFjjGgGUA6NLw09EwE0CqkOc4q9oUmW1yo/edit?usp=sharing"",""ลำปาง!J80"")"),1)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IFERROR(__xludf.DUMMYFUNCTION("IMPORTRANGE(""https://docs.google.com/spreadsheets/d/11923uPwbBZFjjGgGUA6NLw09EwE0CqkOc4q9oUmW1yo/edit?usp=sharing"",""ลำปาง!J81"")"),0)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IFERROR(__xludf.DUMMYFUNCTION("IMPORTRANGE(""https://docs.google.com/spreadsheets/d/11923uPwbBZFjjGgGUA6NLw09EwE0CqkOc4q9oUmW1yo/edit?usp=sharing"",""ลำปาง!J82"")"),0)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IFERROR(__xludf.DUMMYFUNCTION("IMPORTRANGE(""https://docs.google.com/spreadsheets/d/11923uPwbBZFjjGgGUA6NLw09EwE0CqkOc4q9oUmW1yo/edit?usp=sharing"",""ลำปาง!I83"")"),4)</f>
        <v>4</v>
      </c>
      <c r="J158" s="188">
        <f ca="1">IFERROR(__xludf.DUMMYFUNCTION("IMPORTRANGE(""https://docs.google.com/spreadsheets/d/11923uPwbBZFjjGgGUA6NLw09EwE0CqkOc4q9oUmW1yo/edit?usp=sharing"",""ลำปาง!J83"")"),2)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IFERROR(__xludf.DUMMYFUNCTION("IMPORTRANGE(""https://docs.google.com/spreadsheets/d/11923uPwbBZFjjGgGUA6NLw09EwE0CqkOc4q9oUmW1yo/edit?usp=sharing"",""ลำปาง!J84"")"),34)</f>
        <v>34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IFERROR(__xludf.DUMMYFUNCTION("IMPORTRANGE(""https://docs.google.com/spreadsheets/d/11923uPwbBZFjjGgGUA6NLw09EwE0CqkOc4q9oUmW1yo/edit?usp=sharing"",""ลำปาง!J85"")"),34)</f>
        <v>34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IFERROR(__xludf.DUMMYFUNCTION("IMPORTRANGE(""https://docs.google.com/spreadsheets/d/11923uPwbBZFjjGgGUA6NLw09EwE0CqkOc4q9oUmW1yo/edit?usp=sharing"",""ลำปาง!J86"")"),0)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IFERROR(__xludf.DUMMYFUNCTION("IMPORTRANGE(""https://docs.google.com/spreadsheets/d/11923uPwbBZFjjGgGUA6NLw09EwE0CqkOc4q9oUmW1yo/edit?usp=sharing"",""ลำปาง!J87"")"),0)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IFERROR(__xludf.DUMMYFUNCTION("IMPORTRANGE(""https://docs.google.com/spreadsheets/d/11923uPwbBZFjjGgGUA6NLw09EwE0CqkOc4q9oUmW1yo/edit?usp=sharing"",""ลำปาง!J88"")"),0)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IFERROR(__xludf.DUMMYFUNCTION("IMPORTRANGE(""https://docs.google.com/spreadsheets/d/11923uPwbBZFjjGgGUA6NLw09EwE0CqkOc4q9oUmW1yo/edit?usp=sharing"",""ลำปาง!I89"")"),3)</f>
        <v>3</v>
      </c>
      <c r="J164" s="282">
        <f ca="1">IFERROR(__xludf.DUMMYFUNCTION("IMPORTRANGE(""https://docs.google.com/spreadsheets/d/11923uPwbBZFjjGgGUA6NLw09EwE0CqkOc4q9oUmW1yo/edit?usp=sharing"",""ลำปาง!J89"")"),3)</f>
        <v>3</v>
      </c>
      <c r="K164" s="283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IFERROR(__xludf.DUMMYFUNCTION("IMPORTRANGE(""https://docs.google.com/spreadsheets/d/11923uPwbBZFjjGgGUA6NLw09EwE0CqkOc4q9oUmW1yo/edit?usp=sharing"",""ลำปาง!J94"")"),0)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IFERROR(__xludf.DUMMYFUNCTION("IMPORTRANGE(""https://docs.google.com/spreadsheets/d/11923uPwbBZFjjGgGUA6NLw09EwE0CqkOc4q9oUmW1yo/edit?usp=sharing"",""ลำปาง!J95"")"),1)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IFERROR(__xludf.DUMMYFUNCTION("IMPORTRANGE(""https://docs.google.com/spreadsheets/d/11923uPwbBZFjjGgGUA6NLw09EwE0CqkOc4q9oUmW1yo/edit?usp=sharing"",""ลำปาง!J96"")"),1)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IFERROR(__xludf.DUMMYFUNCTION("IMPORTRANGE(""https://docs.google.com/spreadsheets/d/11923uPwbBZFjjGgGUA6NLw09EwE0CqkOc4q9oUmW1yo/edit?usp=sharing"",""ลำปาง!J97"")"),1)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IFERROR(__xludf.DUMMYFUNCTION("IMPORTRANGE(""https://docs.google.com/spreadsheets/d/11923uPwbBZFjjGgGUA6NLw09EwE0CqkOc4q9oUmW1yo/edit?usp=sharing"",""ลำปาง!I98"")"),3)</f>
        <v>3</v>
      </c>
      <c r="J173" s="188">
        <f ca="1">IFERROR(__xludf.DUMMYFUNCTION("IMPORTRANGE(""https://docs.google.com/spreadsheets/d/11923uPwbBZFjjGgGUA6NLw09EwE0CqkOc4q9oUmW1yo/edit?usp=sharing"",""ลำปาง!J98"")"),3)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IFERROR(__xludf.DUMMYFUNCTION("IMPORTRANGE(""https://docs.google.com/spreadsheets/d/11923uPwbBZFjjGgGUA6NLw09EwE0CqkOc4q9oUmW1yo/edit?usp=sharing"",""ลำปาง!J99"")"),0)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IFERROR(__xludf.DUMMYFUNCTION("IMPORTRANGE(""https://docs.google.com/spreadsheets/d/11923uPwbBZFjjGgGUA6NLw09EwE0CqkOc4q9oUmW1yo/edit?usp=sharing"",""ลำปาง!J100"")"),0)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IFERROR(__xludf.DUMMYFUNCTION("IMPORTRANGE(""https://docs.google.com/spreadsheets/d/11923uPwbBZFjjGgGUA6NLw09EwE0CqkOc4q9oUmW1yo/edit?usp=sharing"",""ลำปาง!I101"")"),0)</f>
        <v>0</v>
      </c>
      <c r="J176" s="282">
        <f ca="1">IFERROR(__xludf.DUMMYFUNCTION("IMPORTRANGE(""https://docs.google.com/spreadsheets/d/11923uPwbBZFjjGgGUA6NLw09EwE0CqkOc4q9oUmW1yo/edit?usp=sharing"",""ลำปาง!J101"")"),0)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IFERROR(__xludf.DUMMYFUNCTION("IMPORTRANGE(""https://docs.google.com/spreadsheets/d/11923uPwbBZFjjGgGUA6NLw09EwE0CqkOc4q9oUmW1yo/edit?usp=sharing"",""ลำปาง!J106"")"),0)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IFERROR(__xludf.DUMMYFUNCTION("IMPORTRANGE(""https://docs.google.com/spreadsheets/d/11923uPwbBZFjjGgGUA6NLw09EwE0CqkOc4q9oUmW1yo/edit?usp=sharing"",""ลำปาง!J107"")"),0)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IFERROR(__xludf.DUMMYFUNCTION("IMPORTRANGE(""https://docs.google.com/spreadsheets/d/11923uPwbBZFjjGgGUA6NLw09EwE0CqkOc4q9oUmW1yo/edit?usp=sharing"",""ลำปาง!J108"")"),0)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IFERROR(__xludf.DUMMYFUNCTION("IMPORTRANGE(""https://docs.google.com/spreadsheets/d/11923uPwbBZFjjGgGUA6NLw09EwE0CqkOc4q9oUmW1yo/edit?usp=sharing"",""ลำปาง!J109"")"),0)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IFERROR(__xludf.DUMMYFUNCTION("IMPORTRANGE(""https://docs.google.com/spreadsheets/d/11923uPwbBZFjjGgGUA6NLw09EwE0CqkOc4q9oUmW1yo/edit?usp=sharing"",""ลำปาง!I110"")"),0)</f>
        <v>0</v>
      </c>
      <c r="J185" s="203">
        <f ca="1">IFERROR(__xludf.DUMMYFUNCTION("IMPORTRANGE(""https://docs.google.com/spreadsheets/d/11923uPwbBZFjjGgGUA6NLw09EwE0CqkOc4q9oUmW1yo/edit?usp=sharing"",""ลำปาง!J110"")"),0)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IFERROR(__xludf.DUMMYFUNCTION("IMPORTRANGE(""https://docs.google.com/spreadsheets/d/11923uPwbBZFjjGgGUA6NLw09EwE0CqkOc4q9oUmW1yo/edit?usp=sharing"",""ลำปาง!I111"")"),0)</f>
        <v>0</v>
      </c>
      <c r="J186" s="203">
        <f ca="1">IFERROR(__xludf.DUMMYFUNCTION("IMPORTRANGE(""https://docs.google.com/spreadsheets/d/11923uPwbBZFjjGgGUA6NLw09EwE0CqkOc4q9oUmW1yo/edit?usp=sharing"",""ลำปาง!J111"")"),0)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IFERROR(__xludf.DUMMYFUNCTION("IMPORTRANGE(""https://docs.google.com/spreadsheets/d/11923uPwbBZFjjGgGUA6NLw09EwE0CqkOc4q9oUmW1yo/edit?usp=sharing"",""ลำปาง!J112"")"),0)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IFERROR(__xludf.DUMMYFUNCTION("IMPORTRANGE(""https://docs.google.com/spreadsheets/d/11923uPwbBZFjjGgGUA6NLw09EwE0CqkOc4q9oUmW1yo/edit?usp=sharing"",""ลำปาง!J113"")"),0)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IFERROR(__xludf.DUMMYFUNCTION("IMPORTRANGE(""https://docs.google.com/spreadsheets/d/11923uPwbBZFjjGgGUA6NLw09EwE0CqkOc4q9oUmW1yo/edit?usp=sharing"",""ลำปาง!I114"")"),50000)</f>
        <v>50000</v>
      </c>
      <c r="J189" s="282">
        <f ca="1">IFERROR(__xludf.DUMMYFUNCTION("IMPORTRANGE(""https://docs.google.com/spreadsheets/d/11923uPwbBZFjjGgGUA6NLw09EwE0CqkOc4q9oUmW1yo/edit?usp=sharing"",""ลำปาง!J114"")"),0)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IFERROR(__xludf.DUMMYFUNCTION("IMPORTRANGE(""https://docs.google.com/spreadsheets/d/11923uPwbBZFjjGgGUA6NLw09EwE0CqkOc4q9oUmW1yo/edit?usp=sharing"",""ลำปาง!J119"")"),0)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IFERROR(__xludf.DUMMYFUNCTION("IMPORTRANGE(""https://docs.google.com/spreadsheets/d/11923uPwbBZFjjGgGUA6NLw09EwE0CqkOc4q9oUmW1yo/edit?usp=sharing"",""ลำปาง!J120"")"),1)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IFERROR(__xludf.DUMMYFUNCTION("IMPORTRANGE(""https://docs.google.com/spreadsheets/d/11923uPwbBZFjjGgGUA6NLw09EwE0CqkOc4q9oUmW1yo/edit?usp=sharing"",""ลำปาง!J121"")"),0)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IFERROR(__xludf.DUMMYFUNCTION("IMPORTRANGE(""https://docs.google.com/spreadsheets/d/11923uPwbBZFjjGgGUA6NLw09EwE0CqkOc4q9oUmW1yo/edit?usp=sharing"",""ลำปาง!J122"")"),0)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IFERROR(__xludf.DUMMYFUNCTION("IMPORTRANGE(""https://docs.google.com/spreadsheets/d/11923uPwbBZFjjGgGUA6NLw09EwE0CqkOc4q9oUmW1yo/edit?usp=sharing"",""ลำปาง!I124"")"),50000)</f>
        <v>50000</v>
      </c>
      <c r="J199" s="188">
        <f ca="1">IFERROR(__xludf.DUMMYFUNCTION("IMPORTRANGE(""https://docs.google.com/spreadsheets/d/11923uPwbBZFjjGgGUA6NLw09EwE0CqkOc4q9oUmW1yo/edit?usp=sharing"",""ลำปาง!J124"")"),0)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IFERROR(__xludf.DUMMYFUNCTION("IMPORTRANGE(""https://docs.google.com/spreadsheets/d/11923uPwbBZFjjGgGUA6NLw09EwE0CqkOc4q9oUmW1yo/edit?usp=sharing"",""ลำปาง!I125"")"),50000)</f>
        <v>50000</v>
      </c>
      <c r="J200" s="188">
        <f ca="1">IFERROR(__xludf.DUMMYFUNCTION("IMPORTRANGE(""https://docs.google.com/spreadsheets/d/11923uPwbBZFjjGgGUA6NLw09EwE0CqkOc4q9oUmW1yo/edit?usp=sharing"",""ลำปาง!J125"")"),0)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IFERROR(__xludf.DUMMYFUNCTION("IMPORTRANGE(""https://docs.google.com/spreadsheets/d/11923uPwbBZFjjGgGUA6NLw09EwE0CqkOc4q9oUmW1yo/edit?usp=sharing"",""ลำปาง!I126"")"),0)</f>
        <v>0</v>
      </c>
      <c r="J201" s="188">
        <f ca="1">IFERROR(__xludf.DUMMYFUNCTION("IMPORTRANGE(""https://docs.google.com/spreadsheets/d/11923uPwbBZFjjGgGUA6NLw09EwE0CqkOc4q9oUmW1yo/edit?usp=sharing"",""ลำปาง!J126"")"),0)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IFERROR(__xludf.DUMMYFUNCTION("IMPORTRANGE(""https://docs.google.com/spreadsheets/d/11923uPwbBZFjjGgGUA6NLw09EwE0CqkOc4q9oUmW1yo/edit?usp=sharing"",""ลำปาง!J127"")"),0)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IFERROR(__xludf.DUMMYFUNCTION("IMPORTRANGE(""https://docs.google.com/spreadsheets/d/11923uPwbBZFjjGgGUA6NLw09EwE0CqkOc4q9oUmW1yo/edit?usp=sharing"",""ลำปาง!J128"")"),0)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IFERROR(__xludf.DUMMYFUNCTION("IMPORTRANGE(""https://docs.google.com/spreadsheets/d/11923uPwbBZFjjGgGUA6NLw09EwE0CqkOc4q9oUmW1yo/edit?usp=sharing"",""ลำปาง!I129"")"),0)</f>
        <v>0</v>
      </c>
      <c r="J204" s="282">
        <f ca="1">IFERROR(__xludf.DUMMYFUNCTION("IMPORTRANGE(""https://docs.google.com/spreadsheets/d/11923uPwbBZFjjGgGUA6NLw09EwE0CqkOc4q9oUmW1yo/edit?usp=sharing"",""ลำปาง!J129"")"),0)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IFERROR(__xludf.DUMMYFUNCTION("IMPORTRANGE(""https://docs.google.com/spreadsheets/d/11923uPwbBZFjjGgGUA6NLw09EwE0CqkOc4q9oUmW1yo/edit?usp=sharing"",""ลำปาง!J134"")"),0)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IFERROR(__xludf.DUMMYFUNCTION("IMPORTRANGE(""https://docs.google.com/spreadsheets/d/11923uPwbBZFjjGgGUA6NLw09EwE0CqkOc4q9oUmW1yo/edit?usp=sharing"",""ลำปาง!J135"")"),0)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IFERROR(__xludf.DUMMYFUNCTION("IMPORTRANGE(""https://docs.google.com/spreadsheets/d/11923uPwbBZFjjGgGUA6NLw09EwE0CqkOc4q9oUmW1yo/edit?usp=sharing"",""ลำปาง!J136"")"),0)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IFERROR(__xludf.DUMMYFUNCTION("IMPORTRANGE(""https://docs.google.com/spreadsheets/d/11923uPwbBZFjjGgGUA6NLw09EwE0CqkOc4q9oUmW1yo/edit?usp=sharing"",""ลำปาง!J137"")"),0)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IFERROR(__xludf.DUMMYFUNCTION("IMPORTRANGE(""https://docs.google.com/spreadsheets/d/11923uPwbBZFjjGgGUA6NLw09EwE0CqkOc4q9oUmW1yo/edit?usp=sharing"",""ลำปาง!I138"")"),0)</f>
        <v>0</v>
      </c>
      <c r="J213" s="203">
        <f ca="1">IFERROR(__xludf.DUMMYFUNCTION("IMPORTRANGE(""https://docs.google.com/spreadsheets/d/11923uPwbBZFjjGgGUA6NLw09EwE0CqkOc4q9oUmW1yo/edit?usp=sharing"",""ลำปาง!J138"")"),0)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IFERROR(__xludf.DUMMYFUNCTION("IMPORTRANGE(""https://docs.google.com/spreadsheets/d/11923uPwbBZFjjGgGUA6NLw09EwE0CqkOc4q9oUmW1yo/edit?usp=sharing"",""ลำปาง!I140"")"),0)</f>
        <v>0</v>
      </c>
      <c r="J215" s="203">
        <f ca="1">IFERROR(__xludf.DUMMYFUNCTION("IMPORTRANGE(""https://docs.google.com/spreadsheets/d/11923uPwbBZFjjGgGUA6NLw09EwE0CqkOc4q9oUmW1yo/edit?usp=sharing"",""ลำปาง!J140"")"),0)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IFERROR(__xludf.DUMMYFUNCTION("IMPORTRANGE(""https://docs.google.com/spreadsheets/d/11923uPwbBZFjjGgGUA6NLw09EwE0CqkOc4q9oUmW1yo/edit?usp=sharing"",""ลำปาง!I141"")"),0)</f>
        <v>0</v>
      </c>
      <c r="J216" s="203">
        <f ca="1">IFERROR(__xludf.DUMMYFUNCTION("IMPORTRANGE(""https://docs.google.com/spreadsheets/d/11923uPwbBZFjjGgGUA6NLw09EwE0CqkOc4q9oUmW1yo/edit?usp=sharing"",""ลำปาง!J141"")"),0)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IFERROR(__xludf.DUMMYFUNCTION("IMPORTRANGE(""https://docs.google.com/spreadsheets/d/11923uPwbBZFjjGgGUA6NLw09EwE0CqkOc4q9oUmW1yo/edit?usp=sharing"",""ลำปาง!J142"")"),0)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IFERROR(__xludf.DUMMYFUNCTION("IMPORTRANGE(""https://docs.google.com/spreadsheets/d/11923uPwbBZFjjGgGUA6NLw09EwE0CqkOc4q9oUmW1yo/edit?usp=sharing"",""ลำปาง!J143"")"),0)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IFERROR(__xludf.DUMMYFUNCTION("IMPORTRANGE(""https://docs.google.com/spreadsheets/d/11923uPwbBZFjjGgGUA6NLw09EwE0CqkOc4q9oUmW1yo/edit?usp=sharing"",""ลำปาง!I144"")"),15)</f>
        <v>15</v>
      </c>
      <c r="J219" s="266">
        <f ca="1">IFERROR(__xludf.DUMMYFUNCTION("IMPORTRANGE(""https://docs.google.com/spreadsheets/d/11923uPwbBZFjjGgGUA6NLw09EwE0CqkOc4q9oUmW1yo/edit?usp=sharing"",""ลำปาง!J144"")"),15)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21125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21125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IFERROR(__xludf.DUMMYFUNCTION("IMPORTRANGE(""https://docs.google.com/spreadsheets/d/1Yj_ptqi66GCucihVvJfMjLAmec39IyEx_6qawtMGysU/edit?usp=sharing"",""สบก!BS32"")"),21125)</f>
        <v>21125</v>
      </c>
      <c r="N224" s="168">
        <f ca="1">IFERROR(__xludf.DUMMYFUNCTION("IMPORTRANGE(""https://docs.google.com/spreadsheets/d/1Yj_ptqi66GCucihVvJfMjLAmec39IyEx_6qawtMGysU/edit?usp=sharing"",""สบก!BT32"")"),21125)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IFERROR(__xludf.DUMMYFUNCTION("IMPORTRANGE(""https://docs.google.com/spreadsheets/d/1Yj_ptqi66GCucihVvJfMjLAmec39IyEx_6qawtMGysU/edit?usp=sharing"",""สบก!BO32"")"),0)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IFERROR(__xludf.DUMMYFUNCTION("IMPORTRANGE(""https://docs.google.com/spreadsheets/d/1Yj_ptqi66GCucihVvJfMjLAmec39IyEx_6qawtMGysU/edit?usp=sharing"",""สบก!BP32"")"),21125)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IFERROR(__xludf.DUMMYFUNCTION("IMPORTRANGE(""https://docs.google.com/spreadsheets/d/1Yj_ptqi66GCucihVvJfMjLAmec39IyEx_6qawtMGysU/edit?usp=sharing"",""สบก!BQ32"")"),0)</f>
        <v>0</v>
      </c>
      <c r="M228" s="49"/>
      <c r="N228" s="49">
        <f ca="1">IFERROR(__xludf.DUMMYFUNCTION("IMPORTRANGE(""https://docs.google.com/spreadsheets/d/1Yj_ptqi66GCucihVvJfMjLAmec39IyEx_6qawtMGysU/edit?usp=sharing"",""สบก!BU32"")"),0)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IFERROR(__xludf.DUMMYFUNCTION("IMPORTRANGE(""https://docs.google.com/spreadsheets/d/11923uPwbBZFjjGgGUA6NLw09EwE0CqkOc4q9oUmW1yo/edit?usp=sharing"",""ลำปาง!I149"")"),15)</f>
        <v>15</v>
      </c>
      <c r="J229" s="266">
        <f ca="1">IFERROR(__xludf.DUMMYFUNCTION("IMPORTRANGE(""https://docs.google.com/spreadsheets/d/11923uPwbBZFjjGgGUA6NLw09EwE0CqkOc4q9oUmW1yo/edit?usp=sharing"",""ลำปาง!J149"")"),15)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IFERROR(__xludf.DUMMYFUNCTION("IMPORTRANGE(""https://docs.google.com/spreadsheets/d/11923uPwbBZFjjGgGUA6NLw09EwE0CqkOc4q9oUmW1yo/edit?usp=sharing"",""ลำปาง!J151"")"),0)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IFERROR(__xludf.DUMMYFUNCTION("IMPORTRANGE(""https://docs.google.com/spreadsheets/d/11923uPwbBZFjjGgGUA6NLw09EwE0CqkOc4q9oUmW1yo/edit?usp=sharing"",""ลำปาง!J152"")"),1)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IFERROR(__xludf.DUMMYFUNCTION("IMPORTRANGE(""https://docs.google.com/spreadsheets/d/11923uPwbBZFjjGgGUA6NLw09EwE0CqkOc4q9oUmW1yo/edit?usp=sharing"",""ลำปาง!J153"")"),1)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IFERROR(__xludf.DUMMYFUNCTION("IMPORTRANGE(""https://docs.google.com/spreadsheets/d/11923uPwbBZFjjGgGUA6NLw09EwE0CqkOc4q9oUmW1yo/edit?usp=sharing"",""ลำปาง!J154"")"),1)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IFERROR(__xludf.DUMMYFUNCTION("IMPORTRANGE(""https://docs.google.com/spreadsheets/d/11923uPwbBZFjjGgGUA6NLw09EwE0CqkOc4q9oUmW1yo/edit?usp=sharing"",""ลำปาง!I155"")"),15)</f>
        <v>15</v>
      </c>
      <c r="J235" s="188">
        <f ca="1">IFERROR(__xludf.DUMMYFUNCTION("IMPORTRANGE(""https://docs.google.com/spreadsheets/d/11923uPwbBZFjjGgGUA6NLw09EwE0CqkOc4q9oUmW1yo/edit?usp=sharing"",""ลำปาง!J155"")"),15)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IFERROR(__xludf.DUMMYFUNCTION("IMPORTRANGE(""https://docs.google.com/spreadsheets/d/11923uPwbBZFjjGgGUA6NLw09EwE0CqkOc4q9oUmW1yo/edit?usp=sharing"",""ลำปาง!J156"")"),0)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IFERROR(__xludf.DUMMYFUNCTION("IMPORTRANGE(""https://docs.google.com/spreadsheets/d/11923uPwbBZFjjGgGUA6NLw09EwE0CqkOc4q9oUmW1yo/edit?usp=sharing"",""ลำปาง!J157"")"),0)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IFERROR(__xludf.DUMMYFUNCTION("IMPORTRANGE(""https://docs.google.com/spreadsheets/d/11923uPwbBZFjjGgGUA6NLw09EwE0CqkOc4q9oUmW1yo/edit?usp=sharing"",""ลำปาง!I158"")"),0)</f>
        <v>0</v>
      </c>
      <c r="J238" s="266">
        <f ca="1">IFERROR(__xludf.DUMMYFUNCTION("IMPORTRANGE(""https://docs.google.com/spreadsheets/d/11923uPwbBZFjjGgGUA6NLw09EwE0CqkOc4q9oUmW1yo/edit?usp=sharing"",""ลำปาง!J158"")"),0)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IFERROR(__xludf.DUMMYFUNCTION("IMPORTRANGE(""https://docs.google.com/spreadsheets/d/11923uPwbBZFjjGgGUA6NLw09EwE0CqkOc4q9oUmW1yo/edit?usp=sharing"",""ลำปาง!J159"")"),"")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IFERROR(__xludf.DUMMYFUNCTION("IMPORTRANGE(""https://docs.google.com/spreadsheets/d/11923uPwbBZFjjGgGUA6NLw09EwE0CqkOc4q9oUmW1yo/edit?usp=sharing"",""ลำปาง!J161"")"),0)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IFERROR(__xludf.DUMMYFUNCTION("IMPORTRANGE(""https://docs.google.com/spreadsheets/d/11923uPwbBZFjjGgGUA6NLw09EwE0CqkOc4q9oUmW1yo/edit?usp=sharing"",""ลำปาง!J162"")"),0)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IFERROR(__xludf.DUMMYFUNCTION("IMPORTRANGE(""https://docs.google.com/spreadsheets/d/11923uPwbBZFjjGgGUA6NLw09EwE0CqkOc4q9oUmW1yo/edit?usp=sharing"",""ลำปาง!J163"")"),0)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IFERROR(__xludf.DUMMYFUNCTION("IMPORTRANGE(""https://docs.google.com/spreadsheets/d/11923uPwbBZFjjGgGUA6NLw09EwE0CqkOc4q9oUmW1yo/edit?usp=sharing"",""ลำปาง!I164"")"),0)</f>
        <v>0</v>
      </c>
      <c r="J244" s="187">
        <f ca="1">IFERROR(__xludf.DUMMYFUNCTION("IMPORTRANGE(""https://docs.google.com/spreadsheets/d/11923uPwbBZFjjGgGUA6NLw09EwE0CqkOc4q9oUmW1yo/edit?usp=sharing"",""ลำปาง!J164"")"),0)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IFERROR(__xludf.DUMMYFUNCTION("IMPORTRANGE(""https://docs.google.com/spreadsheets/d/11923uPwbBZFjjGgGUA6NLw09EwE0CqkOc4q9oUmW1yo/edit?usp=sharing"",""ลำปาง!J165"")"),0)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IFERROR(__xludf.DUMMYFUNCTION("IMPORTRANGE(""https://docs.google.com/spreadsheets/d/11923uPwbBZFjjGgGUA6NLw09EwE0CqkOc4q9oUmW1yo/edit?usp=sharing"",""ลำปาง!J166"")"),0)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IFERROR(__xludf.DUMMYFUNCTION("IMPORTRANGE(""https://docs.google.com/spreadsheets/d/11923uPwbBZFjjGgGUA6NLw09EwE0CqkOc4q9oUmW1yo/edit?usp=sharing"",""ลำปาง!I169"")"),0)</f>
        <v>0</v>
      </c>
      <c r="J249" s="314">
        <f ca="1">IFERROR(__xludf.DUMMYFUNCTION("IMPORTRANGE(""https://docs.google.com/spreadsheets/d/11923uPwbBZFjjGgGUA6NLw09EwE0CqkOc4q9oUmW1yo/edit?usp=sharing"",""ลำปาง!J169"")"),0)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IFERROR(__xludf.DUMMYFUNCTION("IMPORTRANGE(""https://docs.google.com/spreadsheets/d/1Yj_ptqi66GCucihVvJfMjLAmec39IyEx_6qawtMGysU/edit?usp=sharing"",""สบก!CB32"")"),0)</f>
        <v>0</v>
      </c>
      <c r="N254" s="168">
        <f ca="1">IFERROR(__xludf.DUMMYFUNCTION("IMPORTRANGE(""https://docs.google.com/spreadsheets/d/1Yj_ptqi66GCucihVvJfMjLAmec39IyEx_6qawtMGysU/edit?usp=sharing"",""สบก!CC32"")"),0)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IFERROR(__xludf.DUMMYFUNCTION("IMPORTRANGE(""https://docs.google.com/spreadsheets/d/1Yj_ptqi66GCucihVvJfMjLAmec39IyEx_6qawtMGysU/edit?usp=sharing"",""สบก!BX32"")"),0)</f>
        <v>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IFERROR(__xludf.DUMMYFUNCTION("IMPORTRANGE(""https://docs.google.com/spreadsheets/d/1Yj_ptqi66GCucihVvJfMjLAmec39IyEx_6qawtMGysU/edit?usp=sharing"",""สบก!BY32"")"),0)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IFERROR(__xludf.DUMMYFUNCTION("IMPORTRANGE(""https://docs.google.com/spreadsheets/d/1Yj_ptqi66GCucihVvJfMjLAmec39IyEx_6qawtMGysU/edit?usp=sharing"",""สบก!BZ32"")"),0)</f>
        <v>0</v>
      </c>
      <c r="M258" s="49"/>
      <c r="N258" s="49">
        <f ca="1">IFERROR(__xludf.DUMMYFUNCTION("IMPORTRANGE(""https://docs.google.com/spreadsheets/d/1Yj_ptqi66GCucihVvJfMjLAmec39IyEx_6qawtMGysU/edit?usp=sharing"",""สบก!CD32"")"),0)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IFERROR(__xludf.DUMMYFUNCTION("IMPORTRANGE(""https://docs.google.com/spreadsheets/d/11923uPwbBZFjjGgGUA6NLw09EwE0CqkOc4q9oUmW1yo/edit?usp=sharing"",""ลำปาง!J175"")"),0)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IFERROR(__xludf.DUMMYFUNCTION("IMPORTRANGE(""https://docs.google.com/spreadsheets/d/11923uPwbBZFjjGgGUA6NLw09EwE0CqkOc4q9oUmW1yo/edit?usp=sharing"",""ลำปาง!J176"")"),0)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IFERROR(__xludf.DUMMYFUNCTION("IMPORTRANGE(""https://docs.google.com/spreadsheets/d/11923uPwbBZFjjGgGUA6NLw09EwE0CqkOc4q9oUmW1yo/edit?usp=sharing"",""ลำปาง!J177"")"),0)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IFERROR(__xludf.DUMMYFUNCTION("IMPORTRANGE(""https://docs.google.com/spreadsheets/d/11923uPwbBZFjjGgGUA6NLw09EwE0CqkOc4q9oUmW1yo/edit?usp=sharing"",""ลำปาง!J178"")"),0)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IFERROR(__xludf.DUMMYFUNCTION("IMPORTRANGE(""https://docs.google.com/spreadsheets/d/11923uPwbBZFjjGgGUA6NLw09EwE0CqkOc4q9oUmW1yo/edit?usp=sharing"",""ลำปาง!I179"")"),0)</f>
        <v>0</v>
      </c>
      <c r="J264" s="188">
        <f ca="1">IFERROR(__xludf.DUMMYFUNCTION("IMPORTRANGE(""https://docs.google.com/spreadsheets/d/11923uPwbBZFjjGgGUA6NLw09EwE0CqkOc4q9oUmW1yo/edit?usp=sharing"",""ลำปาง!J179"")"),0)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IFERROR(__xludf.DUMMYFUNCTION("IMPORTRANGE(""https://docs.google.com/spreadsheets/d/11923uPwbBZFjjGgGUA6NLw09EwE0CqkOc4q9oUmW1yo/edit?usp=sharing"",""ลำปาง!I180"")"),0)</f>
        <v>0</v>
      </c>
      <c r="J265" s="188">
        <f ca="1">IFERROR(__xludf.DUMMYFUNCTION("IMPORTRANGE(""https://docs.google.com/spreadsheets/d/11923uPwbBZFjjGgGUA6NLw09EwE0CqkOc4q9oUmW1yo/edit?usp=sharing"",""ลำปาง!J180"")"),0)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IFERROR(__xludf.DUMMYFUNCTION("IMPORTRANGE(""https://docs.google.com/spreadsheets/d/11923uPwbBZFjjGgGUA6NLw09EwE0CqkOc4q9oUmW1yo/edit?usp=sharing"",""ลำปาง!I181"")"),0)</f>
        <v>0</v>
      </c>
      <c r="J266" s="188">
        <f ca="1">IFERROR(__xludf.DUMMYFUNCTION("IMPORTRANGE(""https://docs.google.com/spreadsheets/d/11923uPwbBZFjjGgGUA6NLw09EwE0CqkOc4q9oUmW1yo/edit?usp=sharing"",""ลำปาง!J181"")"),0)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IFERROR(__xludf.DUMMYFUNCTION("IMPORTRANGE(""https://docs.google.com/spreadsheets/d/11923uPwbBZFjjGgGUA6NLw09EwE0CqkOc4q9oUmW1yo/edit?usp=sharing"",""ลำปาง!I182"")"),0)</f>
        <v>0</v>
      </c>
      <c r="J267" s="188">
        <f ca="1">IFERROR(__xludf.DUMMYFUNCTION("IMPORTRANGE(""https://docs.google.com/spreadsheets/d/11923uPwbBZFjjGgGUA6NLw09EwE0CqkOc4q9oUmW1yo/edit?usp=sharing"",""ลำปาง!J182"")"),0)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IFERROR(__xludf.DUMMYFUNCTION("IMPORTRANGE(""https://docs.google.com/spreadsheets/d/11923uPwbBZFjjGgGUA6NLw09EwE0CqkOc4q9oUmW1yo/edit?usp=sharing"",""ลำปาง!J183"")"),0)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IFERROR(__xludf.DUMMYFUNCTION("IMPORTRANGE(""https://docs.google.com/spreadsheets/d/11923uPwbBZFjjGgGUA6NLw09EwE0CqkOc4q9oUmW1yo/edit?usp=sharing"",""ลำปาง!J184"")"),0)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IFERROR(__xludf.DUMMYFUNCTION("IMPORTRANGE(""https://docs.google.com/spreadsheets/d/11923uPwbBZFjjGgGUA6NLw09EwE0CqkOc4q9oUmW1yo/edit?usp=sharing"",""ลำปาง!I185"")"),15)</f>
        <v>15</v>
      </c>
      <c r="J270" s="314">
        <f ca="1">IFERROR(__xludf.DUMMYFUNCTION("IMPORTRANGE(""https://docs.google.com/spreadsheets/d/11923uPwbBZFjjGgGUA6NLw09EwE0CqkOc4q9oUmW1yo/edit?usp=sharing"",""ลำปาง!J185"")"),0)</f>
        <v>0</v>
      </c>
      <c r="K270" s="315">
        <f ca="1">IF(I270&gt;0,J270*100/I270,0)</f>
        <v>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187200</v>
      </c>
      <c r="M271" s="151">
        <f t="shared" ca="1" si="83"/>
        <v>98250</v>
      </c>
      <c r="N271" s="151">
        <f t="shared" ca="1" si="83"/>
        <v>54657</v>
      </c>
      <c r="O271" s="150">
        <f t="shared" ref="O271:O273" ca="1" si="84">IF(L271&gt;0,N271*100/L271,0)</f>
        <v>29.197115384615383</v>
      </c>
      <c r="P271" s="150">
        <f t="shared" ref="P271:P273" ca="1" si="85">IF(M271&gt;0,N271*100/M271,0)</f>
        <v>55.630534351145037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187200</v>
      </c>
      <c r="M273" s="87">
        <f t="shared" ca="1" si="87"/>
        <v>98250</v>
      </c>
      <c r="N273" s="87">
        <f t="shared" ca="1" si="87"/>
        <v>54657</v>
      </c>
      <c r="O273" s="155">
        <f t="shared" ca="1" si="84"/>
        <v>29.197115384615383</v>
      </c>
      <c r="P273" s="155">
        <f t="shared" ca="1" si="85"/>
        <v>55.630534351145037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IFERROR(__xludf.DUMMYFUNCTION("IMPORTRANGE(""https://docs.google.com/spreadsheets/d/1Yj_ptqi66GCucihVvJfMjLAmec39IyEx_6qawtMGysU/edit?usp=sharing"",""สบก!CK32"")"),98250)</f>
        <v>98250</v>
      </c>
      <c r="N275" s="168">
        <f ca="1">IFERROR(__xludf.DUMMYFUNCTION("IMPORTRANGE(""https://docs.google.com/spreadsheets/d/1Yj_ptqi66GCucihVvJfMjLAmec39IyEx_6qawtMGysU/edit?usp=sharing"",""สบก!CL32"")"),54657)</f>
        <v>54657</v>
      </c>
      <c r="O275" s="168">
        <f ca="1">IF(L275&gt;0,N275*100/L275,0)</f>
        <v>29.197115384615383</v>
      </c>
      <c r="P275" s="168">
        <f ca="1">IF(M275&gt;0,N275*100/M275,0)</f>
        <v>55.630534351145037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IFERROR(__xludf.DUMMYFUNCTION("IMPORTRANGE(""https://docs.google.com/spreadsheets/d/1Yj_ptqi66GCucihVvJfMjLAmec39IyEx_6qawtMGysU/edit?usp=sharing"",""สบก!CG32"")"),132000)</f>
        <v>132000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IFERROR(__xludf.DUMMYFUNCTION("IMPORTRANGE(""https://docs.google.com/spreadsheets/d/1Yj_ptqi66GCucihVvJfMjLAmec39IyEx_6qawtMGysU/edit?usp=sharing"",""สบก!CH32"")"),55200)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IFERROR(__xludf.DUMMYFUNCTION("IMPORTRANGE(""https://docs.google.com/spreadsheets/d/1Yj_ptqi66GCucihVvJfMjLAmec39IyEx_6qawtMGysU/edit?usp=sharing"",""สบก!CI32"")"),0)</f>
        <v>0</v>
      </c>
      <c r="M279" s="49"/>
      <c r="N279" s="49">
        <f ca="1">IFERROR(__xludf.DUMMYFUNCTION("IMPORTRANGE(""https://docs.google.com/spreadsheets/d/1Yj_ptqi66GCucihVvJfMjLAmec39IyEx_6qawtMGysU/edit?usp=sharing"",""สบก!CM32"")"),0)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IFERROR(__xludf.DUMMYFUNCTION("IMPORTRANGE(""https://docs.google.com/spreadsheets/d/11923uPwbBZFjjGgGUA6NLw09EwE0CqkOc4q9oUmW1yo/edit?usp=sharing"",""ลำปาง!J191"")"),0)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IFERROR(__xludf.DUMMYFUNCTION("IMPORTRANGE(""https://docs.google.com/spreadsheets/d/11923uPwbBZFjjGgGUA6NLw09EwE0CqkOc4q9oUmW1yo/edit?usp=sharing"",""ลำปาง!J192"")"),1)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IFERROR(__xludf.DUMMYFUNCTION("IMPORTRANGE(""https://docs.google.com/spreadsheets/d/11923uPwbBZFjjGgGUA6NLw09EwE0CqkOc4q9oUmW1yo/edit?usp=sharing"",""ลำปาง!J193"")"),1)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IFERROR(__xludf.DUMMYFUNCTION("IMPORTRANGE(""https://docs.google.com/spreadsheets/d/11923uPwbBZFjjGgGUA6NLw09EwE0CqkOc4q9oUmW1yo/edit?usp=sharing"",""ลำปาง!J194"")"),0)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IFERROR(__xludf.DUMMYFUNCTION("IMPORTRANGE(""https://docs.google.com/spreadsheets/d/11923uPwbBZFjjGgGUA6NLw09EwE0CqkOc4q9oUmW1yo/edit?usp=sharing"",""ลำปาง!I195"")"),15)</f>
        <v>15</v>
      </c>
      <c r="J285" s="188">
        <f ca="1">IFERROR(__xludf.DUMMYFUNCTION("IMPORTRANGE(""https://docs.google.com/spreadsheets/d/11923uPwbBZFjjGgGUA6NLw09EwE0CqkOc4q9oUmW1yo/edit?usp=sharing"",""ลำปาง!J195"")"),0)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IFERROR(__xludf.DUMMYFUNCTION("IMPORTRANGE(""https://docs.google.com/spreadsheets/d/11923uPwbBZFjjGgGUA6NLw09EwE0CqkOc4q9oUmW1yo/edit?usp=sharing"",""ลำปาง!J196"")"),0)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IFERROR(__xludf.DUMMYFUNCTION("IMPORTRANGE(""https://docs.google.com/spreadsheets/d/11923uPwbBZFjjGgGUA6NLw09EwE0CqkOc4q9oUmW1yo/edit?usp=sharing"",""ลำปาง!J197"")"),0)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IFERROR(__xludf.DUMMYFUNCTION("IMPORTRANGE(""https://docs.google.com/spreadsheets/d/11923uPwbBZFjjGgGUA6NLw09EwE0CqkOc4q9oUmW1yo/edit?usp=sharing"",""ลำปาง!I199"")"),0)</f>
        <v>0</v>
      </c>
      <c r="J289" s="314">
        <f ca="1">IFERROR(__xludf.DUMMYFUNCTION("IMPORTRANGE(""https://docs.google.com/spreadsheets/d/11923uPwbBZFjjGgGUA6NLw09EwE0CqkOc4q9oUmW1yo/edit?usp=sharing"",""ลำปาง!J199"")"),0)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IFERROR(__xludf.DUMMYFUNCTION("IMPORTRANGE(""https://docs.google.com/spreadsheets/d/1Yj_ptqi66GCucihVvJfMjLAmec39IyEx_6qawtMGysU/edit?usp=sharing"",""สบก!CT32"")"),0)</f>
        <v>0</v>
      </c>
      <c r="N294" s="168">
        <f ca="1">IFERROR(__xludf.DUMMYFUNCTION("IMPORTRANGE(""https://docs.google.com/spreadsheets/d/1Yj_ptqi66GCucihVvJfMjLAmec39IyEx_6qawtMGysU/edit?usp=sharing"",""สบก!CU32"")"),0)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IFERROR(__xludf.DUMMYFUNCTION("IMPORTRANGE(""https://docs.google.com/spreadsheets/d/1Yj_ptqi66GCucihVvJfMjLAmec39IyEx_6qawtMGysU/edit?usp=sharing"",""สบก!CP32"")"),0)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IFERROR(__xludf.DUMMYFUNCTION("IMPORTRANGE(""https://docs.google.com/spreadsheets/d/1Yj_ptqi66GCucihVvJfMjLAmec39IyEx_6qawtMGysU/edit?usp=sharing"",""สบก!CQ32"")"),0)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IFERROR(__xludf.DUMMYFUNCTION("IMPORTRANGE(""https://docs.google.com/spreadsheets/d/1Yj_ptqi66GCucihVvJfMjLAmec39IyEx_6qawtMGysU/edit?usp=sharing"",""สบก!CR32"")"),0)</f>
        <v>0</v>
      </c>
      <c r="M298" s="49"/>
      <c r="N298" s="49">
        <f ca="1">IFERROR(__xludf.DUMMYFUNCTION("IMPORTRANGE(""https://docs.google.com/spreadsheets/d/1Yj_ptqi66GCucihVvJfMjLAmec39IyEx_6qawtMGysU/edit?usp=sharing"",""สบก!CV32"")"),0)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IFERROR(__xludf.DUMMYFUNCTION("IMPORTRANGE(""https://docs.google.com/spreadsheets/d/11923uPwbBZFjjGgGUA6NLw09EwE0CqkOc4q9oUmW1yo/edit?usp=sharing"",""ลำปาง!J205"")"),0)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IFERROR(__xludf.DUMMYFUNCTION("IMPORTRANGE(""https://docs.google.com/spreadsheets/d/11923uPwbBZFjjGgGUA6NLw09EwE0CqkOc4q9oUmW1yo/edit?usp=sharing"",""ลำปาง!J206"")"),0)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IFERROR(__xludf.DUMMYFUNCTION("IMPORTRANGE(""https://docs.google.com/spreadsheets/d/11923uPwbBZFjjGgGUA6NLw09EwE0CqkOc4q9oUmW1yo/edit?usp=sharing"",""ลำปาง!J207"")"),0)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IFERROR(__xludf.DUMMYFUNCTION("IMPORTRANGE(""https://docs.google.com/spreadsheets/d/11923uPwbBZFjjGgGUA6NLw09EwE0CqkOc4q9oUmW1yo/edit?usp=sharing"",""ลำปาง!J208"")"),0)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IFERROR(__xludf.DUMMYFUNCTION("IMPORTRANGE(""https://docs.google.com/spreadsheets/d/11923uPwbBZFjjGgGUA6NLw09EwE0CqkOc4q9oUmW1yo/edit?usp=sharing"",""ลำปาง!I209"")"),0)</f>
        <v>0</v>
      </c>
      <c r="J304" s="203">
        <f ca="1">IFERROR(__xludf.DUMMYFUNCTION("IMPORTRANGE(""https://docs.google.com/spreadsheets/d/11923uPwbBZFjjGgGUA6NLw09EwE0CqkOc4q9oUmW1yo/edit?usp=sharing"",""ลำปาง!J209"")"),0)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IFERROR(__xludf.DUMMYFUNCTION("IMPORTRANGE(""https://docs.google.com/spreadsheets/d/11923uPwbBZFjjGgGUA6NLw09EwE0CqkOc4q9oUmW1yo/edit?usp=sharing"",""ลำปาง!I211"")"),0)</f>
        <v>0</v>
      </c>
      <c r="J306" s="203">
        <f ca="1">IFERROR(__xludf.DUMMYFUNCTION("IMPORTRANGE(""https://docs.google.com/spreadsheets/d/11923uPwbBZFjjGgGUA6NLw09EwE0CqkOc4q9oUmW1yo/edit?usp=sharing"",""ลำปาง!J211"")"),0)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IFERROR(__xludf.DUMMYFUNCTION("IMPORTRANGE(""https://docs.google.com/spreadsheets/d/11923uPwbBZFjjGgGUA6NLw09EwE0CqkOc4q9oUmW1yo/edit?usp=sharing"",""ลำปาง!J212"")"),0)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IFERROR(__xludf.DUMMYFUNCTION("IMPORTRANGE(""https://docs.google.com/spreadsheets/d/11923uPwbBZFjjGgGUA6NLw09EwE0CqkOc4q9oUmW1yo/edit?usp=sharing"",""ลำปาง!J213"")"),0)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IFERROR(__xludf.DUMMYFUNCTION("IMPORTRANGE(""https://docs.google.com/spreadsheets/d/11923uPwbBZFjjGgGUA6NLw09EwE0CqkOc4q9oUmW1yo/edit?usp=sharing"",""ลำปาง!I214"")"),0)</f>
        <v>0</v>
      </c>
      <c r="J309" s="331">
        <f ca="1">IFERROR(__xludf.DUMMYFUNCTION("IMPORTRANGE(""https://docs.google.com/spreadsheets/d/11923uPwbBZFjjGgGUA6NLw09EwE0CqkOc4q9oUmW1yo/edit?usp=sharing"",""ลำปาง!J214"")"),0)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IFERROR(__xludf.DUMMYFUNCTION("IMPORTRANGE(""https://docs.google.com/spreadsheets/d/1Yj_ptqi66GCucihVvJfMjLAmec39IyEx_6qawtMGysU/edit?usp=sharing"",""สบก!DC32"")"),0)</f>
        <v>0</v>
      </c>
      <c r="N314" s="168">
        <f ca="1">IFERROR(__xludf.DUMMYFUNCTION("IMPORTRANGE(""https://docs.google.com/spreadsheets/d/1Yj_ptqi66GCucihVvJfMjLAmec39IyEx_6qawtMGysU/edit?usp=sharing"",""สบก!DD32"")"),0)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IFERROR(__xludf.DUMMYFUNCTION("IMPORTRANGE(""https://docs.google.com/spreadsheets/d/1Yj_ptqi66GCucihVvJfMjLAmec39IyEx_6qawtMGysU/edit?usp=sharing"",""สบก!CY32"")"),0)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IFERROR(__xludf.DUMMYFUNCTION("IMPORTRANGE(""https://docs.google.com/spreadsheets/d/1Yj_ptqi66GCucihVvJfMjLAmec39IyEx_6qawtMGysU/edit?usp=sharing"",""สบก!CZ32"")"),0)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IFERROR(__xludf.DUMMYFUNCTION("IMPORTRANGE(""https://docs.google.com/spreadsheets/d/1Yj_ptqi66GCucihVvJfMjLAmec39IyEx_6qawtMGysU/edit?usp=sharing"",""สบก!DA32"")"),0)</f>
        <v>0</v>
      </c>
      <c r="M318" s="49"/>
      <c r="N318" s="49">
        <f ca="1">IFERROR(__xludf.DUMMYFUNCTION("IMPORTRANGE(""https://docs.google.com/spreadsheets/d/1Yj_ptqi66GCucihVvJfMjLAmec39IyEx_6qawtMGysU/edit?usp=sharing"",""สบก!DE32"")"),0)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IFERROR(__xludf.DUMMYFUNCTION("IMPORTRANGE(""https://docs.google.com/spreadsheets/d/11923uPwbBZFjjGgGUA6NLw09EwE0CqkOc4q9oUmW1yo/edit?usp=sharing"",""ลำปาง!J220"")"),0)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IFERROR(__xludf.DUMMYFUNCTION("IMPORTRANGE(""https://docs.google.com/spreadsheets/d/11923uPwbBZFjjGgGUA6NLw09EwE0CqkOc4q9oUmW1yo/edit?usp=sharing"",""ลำปาง!J221"")"),0)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IFERROR(__xludf.DUMMYFUNCTION("IMPORTRANGE(""https://docs.google.com/spreadsheets/d/11923uPwbBZFjjGgGUA6NLw09EwE0CqkOc4q9oUmW1yo/edit?usp=sharing"",""ลำปาง!J222"")"),0)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IFERROR(__xludf.DUMMYFUNCTION("IMPORTRANGE(""https://docs.google.com/spreadsheets/d/11923uPwbBZFjjGgGUA6NLw09EwE0CqkOc4q9oUmW1yo/edit?usp=sharing"",""ลำปาง!J223"")"),0)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IFERROR(__xludf.DUMMYFUNCTION("IMPORTRANGE(""https://docs.google.com/spreadsheets/d/11923uPwbBZFjjGgGUA6NLw09EwE0CqkOc4q9oUmW1yo/edit?usp=sharing"",""ลำปาง!I224"")"),0)</f>
        <v>0</v>
      </c>
      <c r="J324" s="203">
        <f ca="1">IFERROR(__xludf.DUMMYFUNCTION("IMPORTRANGE(""https://docs.google.com/spreadsheets/d/11923uPwbBZFjjGgGUA6NLw09EwE0CqkOc4q9oUmW1yo/edit?usp=sharing"",""ลำปาง!J224"")"),0)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IFERROR(__xludf.DUMMYFUNCTION("IMPORTRANGE(""https://docs.google.com/spreadsheets/d/11923uPwbBZFjjGgGUA6NLw09EwE0CqkOc4q9oUmW1yo/edit?usp=sharing"",""ลำปาง!J225"")"),0)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IFERROR(__xludf.DUMMYFUNCTION("IMPORTRANGE(""https://docs.google.com/spreadsheets/d/11923uPwbBZFjjGgGUA6NLw09EwE0CqkOc4q9oUmW1yo/edit?usp=sharing"",""ลำปาง!J226"")"),0)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IFERROR(__xludf.DUMMYFUNCTION("IMPORTRANGE(""https://docs.google.com/spreadsheets/d/11923uPwbBZFjjGgGUA6NLw09EwE0CqkOc4q9oUmW1yo/edit?usp=sharing"",""ลำปาง!I228"")"),400)</f>
        <v>400</v>
      </c>
      <c r="J328" s="337">
        <f ca="1">IFERROR(__xludf.DUMMYFUNCTION("IMPORTRANGE(""https://docs.google.com/spreadsheets/d/11923uPwbBZFjjGgGUA6NLw09EwE0CqkOc4q9oUmW1yo/edit?usp=sharing"",""ลำปาง!J228"")"),149)</f>
        <v>149</v>
      </c>
      <c r="K328" s="315">
        <f ca="1">IF(I328&gt;0,J328*100/I328,0)</f>
        <v>37.25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1017600</v>
      </c>
      <c r="M329" s="151">
        <f t="shared" ca="1" si="98"/>
        <v>600610</v>
      </c>
      <c r="N329" s="151">
        <f t="shared" ca="1" si="98"/>
        <v>531120</v>
      </c>
      <c r="O329" s="150">
        <f t="shared" ref="O329:O331" ca="1" si="99">IF(L329&gt;0,N329*100/L329,0)</f>
        <v>52.193396226415096</v>
      </c>
      <c r="P329" s="150">
        <f t="shared" ref="P329:P331" ca="1" si="100">IF(M329&gt;0,N329*100/M329,0)</f>
        <v>88.430096068996519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1017600</v>
      </c>
      <c r="M331" s="87">
        <f t="shared" ca="1" si="102"/>
        <v>600610</v>
      </c>
      <c r="N331" s="87">
        <f t="shared" ca="1" si="102"/>
        <v>531120</v>
      </c>
      <c r="O331" s="155">
        <f t="shared" ca="1" si="99"/>
        <v>52.193396226415096</v>
      </c>
      <c r="P331" s="155">
        <f t="shared" ca="1" si="100"/>
        <v>88.430096068996519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897600</v>
      </c>
      <c r="M333" s="167">
        <f ca="1">IFERROR(__xludf.DUMMYFUNCTION("IMPORTRANGE(""https://docs.google.com/spreadsheets/d/1Yj_ptqi66GCucihVvJfMjLAmec39IyEx_6qawtMGysU/edit?usp=sharing"",""สบก!DL32"")"),480610)</f>
        <v>480610</v>
      </c>
      <c r="N333" s="168">
        <f ca="1">IFERROR(__xludf.DUMMYFUNCTION("IMPORTRANGE(""https://docs.google.com/spreadsheets/d/1Yj_ptqi66GCucihVvJfMjLAmec39IyEx_6qawtMGysU/edit?usp=sharing"",""สบก!DM32"")"),411120)</f>
        <v>411120</v>
      </c>
      <c r="O333" s="168">
        <f ca="1">IF(L333&gt;0,N333*100/L333,0)</f>
        <v>45.802139037433157</v>
      </c>
      <c r="P333" s="168">
        <f ca="1">IF(M333&gt;0,N333*100/M333,0)</f>
        <v>85.541291275670503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IFERROR(__xludf.DUMMYFUNCTION("IMPORTRANGE(""https://docs.google.com/spreadsheets/d/1Yj_ptqi66GCucihVvJfMjLAmec39IyEx_6qawtMGysU/edit?usp=sharing"",""สบก!DH32"")"),491200)</f>
        <v>491200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IFERROR(__xludf.DUMMYFUNCTION("IMPORTRANGE(""https://docs.google.com/spreadsheets/d/1Yj_ptqi66GCucihVvJfMjLAmec39IyEx_6qawtMGysU/edit?usp=sharing"",""สบก!DI32"")"),406400)</f>
        <v>406400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IFERROR(__xludf.DUMMYFUNCTION("IMPORTRANGE(""https://docs.google.com/spreadsheets/d/1Yj_ptqi66GCucihVvJfMjLAmec39IyEx_6qawtMGysU/edit?usp=sharing"",""สบก!DJ32"")"),120000)</f>
        <v>120000</v>
      </c>
      <c r="M337" s="49">
        <f ca="1">L337</f>
        <v>120000</v>
      </c>
      <c r="N337" s="49">
        <f ca="1">IFERROR(__xludf.DUMMYFUNCTION("IMPORTRANGE(""https://docs.google.com/spreadsheets/d/1Yj_ptqi66GCucihVvJfMjLAmec39IyEx_6qawtMGysU/edit?usp=sharing"",""สบก!DN32"")"),120000)</f>
        <v>120000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IFERROR(__xludf.DUMMYFUNCTION("IMPORTRANGE(""https://docs.google.com/spreadsheets/d/11923uPwbBZFjjGgGUA6NLw09EwE0CqkOc4q9oUmW1yo/edit?usp=sharing"",""ลำปาง!I234"")"),0)</f>
        <v>0</v>
      </c>
      <c r="J339" s="187">
        <f ca="1">IFERROR(__xludf.DUMMYFUNCTION("IMPORTRANGE(""https://docs.google.com/spreadsheets/d/11923uPwbBZFjjGgGUA6NLw09EwE0CqkOc4q9oUmW1yo/edit?usp=sharing"",""ลำปาง!J234"")"),218)</f>
        <v>218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IFERROR(__xludf.DUMMYFUNCTION("IMPORTRANGE(""https://docs.google.com/spreadsheets/d/11923uPwbBZFjjGgGUA6NLw09EwE0CqkOc4q9oUmW1yo/edit?usp=sharing"",""ลำปาง!I235"")"),1700)</f>
        <v>1700</v>
      </c>
      <c r="J340" s="187">
        <f ca="1">IFERROR(__xludf.DUMMYFUNCTION("IMPORTRANGE(""https://docs.google.com/spreadsheets/d/11923uPwbBZFjjGgGUA6NLw09EwE0CqkOc4q9oUmW1yo/edit?usp=sharing"",""ลำปาง!J235"")"),1213.97)</f>
        <v>1213.97</v>
      </c>
      <c r="K340" s="340">
        <f t="shared" ca="1" si="103"/>
        <v>71.41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IFERROR(__xludf.DUMMYFUNCTION("IMPORTRANGE(""https://docs.google.com/spreadsheets/d/11923uPwbBZFjjGgGUA6NLw09EwE0CqkOc4q9oUmW1yo/edit?usp=sharing"",""ลำปาง!I236"")"),400)</f>
        <v>400</v>
      </c>
      <c r="J341" s="187">
        <f ca="1">IFERROR(__xludf.DUMMYFUNCTION("IMPORTRANGE(""https://docs.google.com/spreadsheets/d/11923uPwbBZFjjGgGUA6NLw09EwE0CqkOc4q9oUmW1yo/edit?usp=sharing"",""ลำปาง!J236"")"),263)</f>
        <v>263</v>
      </c>
      <c r="K341" s="340">
        <f t="shared" ca="1" si="103"/>
        <v>65.75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IFERROR(__xludf.DUMMYFUNCTION("IMPORTRANGE(""https://docs.google.com/spreadsheets/d/11923uPwbBZFjjGgGUA6NLw09EwE0CqkOc4q9oUmW1yo/edit?usp=sharing"",""ลำปาง!I237"")"),0)</f>
        <v>0</v>
      </c>
      <c r="J342" s="187">
        <f ca="1">IFERROR(__xludf.DUMMYFUNCTION("IMPORTRANGE(""https://docs.google.com/spreadsheets/d/11923uPwbBZFjjGgGUA6NLw09EwE0CqkOc4q9oUmW1yo/edit?usp=sharing"",""ลำปาง!J237"")"),1507.49)</f>
        <v>1507.49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IFERROR(__xludf.DUMMYFUNCTION("IMPORTRANGE(""https://docs.google.com/spreadsheets/d/11923uPwbBZFjjGgGUA6NLw09EwE0CqkOc4q9oUmW1yo/edit?usp=sharing"",""ลำปาง!I238"")"),400)</f>
        <v>400</v>
      </c>
      <c r="J343" s="187">
        <f ca="1">IFERROR(__xludf.DUMMYFUNCTION("IMPORTRANGE(""https://docs.google.com/spreadsheets/d/11923uPwbBZFjjGgGUA6NLw09EwE0CqkOc4q9oUmW1yo/edit?usp=sharing"",""ลำปาง!J238"")"),1)</f>
        <v>1</v>
      </c>
      <c r="K343" s="340">
        <f t="shared" ca="1" si="103"/>
        <v>0.25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IFERROR(__xludf.DUMMYFUNCTION("IMPORTRANGE(""https://docs.google.com/spreadsheets/d/11923uPwbBZFjjGgGUA6NLw09EwE0CqkOc4q9oUmW1yo/edit?usp=sharing"",""ลำปาง!I239"")"),0)</f>
        <v>0</v>
      </c>
      <c r="J344" s="187">
        <f ca="1">IFERROR(__xludf.DUMMYFUNCTION("IMPORTRANGE(""https://docs.google.com/spreadsheets/d/11923uPwbBZFjjGgGUA6NLw09EwE0CqkOc4q9oUmW1yo/edit?usp=sharing"",""ลำปาง!J239"")"),1.13)</f>
        <v>1.1299999999999999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IFERROR(__xludf.DUMMYFUNCTION("IMPORTRANGE(""https://docs.google.com/spreadsheets/d/11923uPwbBZFjjGgGUA6NLw09EwE0CqkOc4q9oUmW1yo/edit?usp=sharing"",""ลำปาง!I240"")"),400)</f>
        <v>400</v>
      </c>
      <c r="J345" s="187">
        <f ca="1">IFERROR(__xludf.DUMMYFUNCTION("IMPORTRANGE(""https://docs.google.com/spreadsheets/d/11923uPwbBZFjjGgGUA6NLw09EwE0CqkOc4q9oUmW1yo/edit?usp=sharing"",""ลำปาง!J240"")"),149)</f>
        <v>149</v>
      </c>
      <c r="K345" s="340">
        <f t="shared" ca="1" si="103"/>
        <v>37.25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IFERROR(__xludf.DUMMYFUNCTION("IMPORTRANGE(""https://docs.google.com/spreadsheets/d/11923uPwbBZFjjGgGUA6NLw09EwE0CqkOc4q9oUmW1yo/edit?usp=sharing"",""ลำปาง!I241"")"),0)</f>
        <v>0</v>
      </c>
      <c r="J346" s="187">
        <f ca="1">IFERROR(__xludf.DUMMYFUNCTION("IMPORTRANGE(""https://docs.google.com/spreadsheets/d/11923uPwbBZFjjGgGUA6NLw09EwE0CqkOc4q9oUmW1yo/edit?usp=sharing"",""ลำปาง!J241"")"),812.39)</f>
        <v>812.39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IFERROR(__xludf.DUMMYFUNCTION("IMPORTRANGE(""https://docs.google.com/spreadsheets/d/11923uPwbBZFjjGgGUA6NLw09EwE0CqkOc4q9oUmW1yo/edit?usp=sharing"",""ลำปาง!L242"")"),2631935)</f>
        <v>2631935</v>
      </c>
      <c r="M347" s="356"/>
      <c r="N347" s="356">
        <f ca="1">IFERROR(__xludf.DUMMYFUNCTION("IMPORTRANGE(""https://docs.google.com/spreadsheets/d/11923uPwbBZFjjGgGUA6NLw09EwE0CqkOc4q9oUmW1yo/edit?usp=sharing"",""ลำปาง!M242"")"),505676.03)</f>
        <v>505676.03</v>
      </c>
      <c r="O347" s="356">
        <f ca="1">+IF(L347&gt;0,N347*100/L347,0)</f>
        <v>19.213089608975906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IFERROR(__xludf.DUMMYFUNCTION("IMPORTRANGE(""https://docs.google.com/spreadsheets/d/11923uPwbBZFjjGgGUA6NLw09EwE0CqkOc4q9oUmW1yo/edit?usp=sharing"",""ลำปาง!I244"")"),50)</f>
        <v>50</v>
      </c>
      <c r="J349" s="369">
        <f ca="1">IFERROR(__xludf.DUMMYFUNCTION("IMPORTRANGE(""https://docs.google.com/spreadsheets/d/11923uPwbBZFjjGgGUA6NLw09EwE0CqkOc4q9oUmW1yo/edit?usp=sharing"",""ลำปาง!J244"")"),50)</f>
        <v>50</v>
      </c>
      <c r="K349" s="370">
        <f t="shared" ref="K349:K350" ca="1" si="104">IF(I349&gt;0,J349*100/I349,0)</f>
        <v>100</v>
      </c>
      <c r="L349" s="371">
        <f ca="1">IFERROR(__xludf.DUMMYFUNCTION("IMPORTRANGE(""https://docs.google.com/spreadsheets/d/11923uPwbBZFjjGgGUA6NLw09EwE0CqkOc4q9oUmW1yo/edit?usp=sharing"",""ลำปาง!L244"")"),230720)</f>
        <v>230720</v>
      </c>
      <c r="M349" s="371"/>
      <c r="N349" s="371">
        <f ca="1">IFERROR(__xludf.DUMMYFUNCTION("IMPORTRANGE(""https://docs.google.com/spreadsheets/d/11923uPwbBZFjjGgGUA6NLw09EwE0CqkOc4q9oUmW1yo/edit?usp=sharing"",""ลำปาง!M244"")"),107220.04)</f>
        <v>107220.04</v>
      </c>
      <c r="O349" s="371">
        <f ca="1">+IF(L349&gt;0,N349*100/L349,0)</f>
        <v>46.471931345353674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IFERROR(__xludf.DUMMYFUNCTION("IMPORTRANGE(""https://docs.google.com/spreadsheets/d/11923uPwbBZFjjGgGUA6NLw09EwE0CqkOc4q9oUmW1yo/edit?usp=sharing"",""ลำปาง!I245"")"),10)</f>
        <v>10</v>
      </c>
      <c r="J350" s="369">
        <f ca="1">IFERROR(__xludf.DUMMYFUNCTION("IMPORTRANGE(""https://docs.google.com/spreadsheets/d/11923uPwbBZFjjGgGUA6NLw09EwE0CqkOc4q9oUmW1yo/edit?usp=sharing"",""ลำปาง!J245"")"),0)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IFERROR(__xludf.DUMMYFUNCTION("IMPORTRANGE(""https://docs.google.com/spreadsheets/d/11923uPwbBZFjjGgGUA6NLw09EwE0CqkOc4q9oUmW1yo/edit?usp=sharing"",""ลำปาง!L246"")"),0)</f>
        <v>0</v>
      </c>
      <c r="M351" s="164"/>
      <c r="N351" s="164">
        <f ca="1">IFERROR(__xludf.DUMMYFUNCTION("IMPORTRANGE(""https://docs.google.com/spreadsheets/d/11923uPwbBZFjjGgGUA6NLw09EwE0CqkOc4q9oUmW1yo/edit?usp=sharing"",""ลำปาง!M246"")"),0)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IFERROR(__xludf.DUMMYFUNCTION("IMPORTRANGE(""https://docs.google.com/spreadsheets/d/11923uPwbBZFjjGgGUA6NLw09EwE0CqkOc4q9oUmW1yo/edit?usp=sharing"",""ลำปาง!L247"")"),230720)</f>
        <v>230720</v>
      </c>
      <c r="M352" s="165"/>
      <c r="N352" s="164">
        <f ca="1">IFERROR(__xludf.DUMMYFUNCTION("IMPORTRANGE(""https://docs.google.com/spreadsheets/d/11923uPwbBZFjjGgGUA6NLw09EwE0CqkOc4q9oUmW1yo/edit?usp=sharing"",""ลำปาง!M247"")"),107220.04)</f>
        <v>107220.04</v>
      </c>
      <c r="O352" s="165">
        <f t="shared" ca="1" si="105"/>
        <v>46.471931345353674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IFERROR(__xludf.DUMMYFUNCTION("IMPORTRANGE(""https://docs.google.com/spreadsheets/d/11923uPwbBZFjjGgGUA6NLw09EwE0CqkOc4q9oUmW1yo/edit?usp=sharing"",""ลำปาง!L248"")"),0)</f>
        <v>0</v>
      </c>
      <c r="M353" s="168"/>
      <c r="N353" s="168">
        <f ca="1">IFERROR(__xludf.DUMMYFUNCTION("IMPORTRANGE(""https://docs.google.com/spreadsheets/d/11923uPwbBZFjjGgGUA6NLw09EwE0CqkOc4q9oUmW1yo/edit?usp=sharing"",""ลำปาง!M248"")"),0)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IFERROR(__xludf.DUMMYFUNCTION("IMPORTRANGE(""https://docs.google.com/spreadsheets/d/11923uPwbBZFjjGgGUA6NLw09EwE0CqkOc4q9oUmW1yo/edit?usp=sharing"",""ลำปาง!L249"")"),230720)</f>
        <v>230720</v>
      </c>
      <c r="M354" s="168"/>
      <c r="N354" s="167">
        <f ca="1">IFERROR(__xludf.DUMMYFUNCTION("IMPORTRANGE(""https://docs.google.com/spreadsheets/d/11923uPwbBZFjjGgGUA6NLw09EwE0CqkOc4q9oUmW1yo/edit?usp=sharing"",""ลำปาง!M249"")"),107220.04)</f>
        <v>107220.04</v>
      </c>
      <c r="O354" s="168">
        <f t="shared" ca="1" si="105"/>
        <v>46.471931345353674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IFERROR(__xludf.DUMMYFUNCTION("IMPORTRANGE(""https://docs.google.com/spreadsheets/d/11923uPwbBZFjjGgGUA6NLw09EwE0CqkOc4q9oUmW1yo/edit?usp=sharing"",""ลำปาง!M250"")"),16200)</f>
        <v>16200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IFERROR(__xludf.DUMMYFUNCTION("IMPORTRANGE(""https://docs.google.com/spreadsheets/d/11923uPwbBZFjjGgGUA6NLw09EwE0CqkOc4q9oUmW1yo/edit?usp=sharing"",""ลำปาง!M251"")"),40000)</f>
        <v>40000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IFERROR(__xludf.DUMMYFUNCTION("IMPORTRANGE(""https://docs.google.com/spreadsheets/d/11923uPwbBZFjjGgGUA6NLw09EwE0CqkOc4q9oUmW1yo/edit?usp=sharing"",""ลำปาง!M252"")"),41800.04)</f>
        <v>41800.04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IFERROR(__xludf.DUMMYFUNCTION("IMPORTRANGE(""https://docs.google.com/spreadsheets/d/11923uPwbBZFjjGgGUA6NLw09EwE0CqkOc4q9oUmW1yo/edit?usp=sharing"",""ลำปาง!M253"")"),9220)</f>
        <v>9220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IFERROR(__xludf.DUMMYFUNCTION("IMPORTRANGE(""https://docs.google.com/spreadsheets/d/11923uPwbBZFjjGgGUA6NLw09EwE0CqkOc4q9oUmW1yo/edit?usp=sharing"",""ลำปาง!J255"")"),0)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IFERROR(__xludf.DUMMYFUNCTION("IMPORTRANGE(""https://docs.google.com/spreadsheets/d/11923uPwbBZFjjGgGUA6NLw09EwE0CqkOc4q9oUmW1yo/edit?usp=sharing"",""ลำปาง!J256"")"),1)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IFERROR(__xludf.DUMMYFUNCTION("IMPORTRANGE(""https://docs.google.com/spreadsheets/d/11923uPwbBZFjjGgGUA6NLw09EwE0CqkOc4q9oUmW1yo/edit?usp=sharing"",""ลำปาง!J257"")"),1)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IFERROR(__xludf.DUMMYFUNCTION("IMPORTRANGE(""https://docs.google.com/spreadsheets/d/11923uPwbBZFjjGgGUA6NLw09EwE0CqkOc4q9oUmW1yo/edit?usp=sharing"",""ลำปาง!J258"")"),1)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IFERROR(__xludf.DUMMYFUNCTION("IMPORTRANGE(""https://docs.google.com/spreadsheets/d/11923uPwbBZFjjGgGUA6NLw09EwE0CqkOc4q9oUmW1yo/edit?usp=sharing"",""ลำปาง!J166"")"),0)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IFERROR(__xludf.DUMMYFUNCTION("IMPORTRANGE(""https://docs.google.com/spreadsheets/d/11923uPwbBZFjjGgGUA6NLw09EwE0CqkOc4q9oUmW1yo/edit?usp=sharing"",""ลำปาง!J166"")"),0)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IFERROR(__xludf.DUMMYFUNCTION("IMPORTRANGE(""https://docs.google.com/spreadsheets/d/11923uPwbBZFjjGgGUA6NLw09EwE0CqkOc4q9oUmW1yo/edit?usp=sharing"",""ลำปาง!J166"")"),0)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IFERROR(__xludf.DUMMYFUNCTION("IMPORTRANGE(""https://docs.google.com/spreadsheets/d/11923uPwbBZFjjGgGUA6NLw09EwE0CqkOc4q9oUmW1yo/edit?usp=sharing"",""ลำปาง!J166"")"),0)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IFERROR(__xludf.DUMMYFUNCTION("IMPORTRANGE(""https://docs.google.com/spreadsheets/d/11923uPwbBZFjjGgGUA6NLw09EwE0CqkOc4q9oUmW1yo/edit?usp=sharing"",""ลำปาง!I263"")"),10)</f>
        <v>10</v>
      </c>
      <c r="J368" s="187">
        <f ca="1">IFERROR(__xludf.DUMMYFUNCTION("IMPORTRANGE(""https://docs.google.com/spreadsheets/d/11923uPwbBZFjjGgGUA6NLw09EwE0CqkOc4q9oUmW1yo/edit?usp=sharing"",""ลำปาง!J263"")"),0)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IFERROR(__xludf.DUMMYFUNCTION("IMPORTRANGE(""https://docs.google.com/spreadsheets/d/11923uPwbBZFjjGgGUA6NLw09EwE0CqkOc4q9oUmW1yo/edit?usp=sharing"",""ลำปาง!I164"")"),0)</f>
        <v>0</v>
      </c>
      <c r="J369" s="203">
        <f ca="1">IFERROR(__xludf.DUMMYFUNCTION("IMPORTRANGE(""https://docs.google.com/spreadsheets/d/11923uPwbBZFjjGgGUA6NLw09EwE0CqkOc4q9oUmW1yo/edit?usp=sharing"",""ลำปาง!J164"")"),0)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IFERROR(__xludf.DUMMYFUNCTION("IMPORTRANGE(""https://docs.google.com/spreadsheets/d/11923uPwbBZFjjGgGUA6NLw09EwE0CqkOc4q9oUmW1yo/edit?usp=sharing"",""ลำปาง!I265"")"),10)</f>
        <v>10</v>
      </c>
      <c r="J370" s="203">
        <f ca="1">IFERROR(__xludf.DUMMYFUNCTION("IMPORTRANGE(""https://docs.google.com/spreadsheets/d/11923uPwbBZFjjGgGUA6NLw09EwE0CqkOc4q9oUmW1yo/edit?usp=sharing"",""ลำปาง!J265"")"),14)</f>
        <v>14</v>
      </c>
      <c r="K370" s="163">
        <f t="shared" ca="1" si="106"/>
        <v>140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IFERROR(__xludf.DUMMYFUNCTION("IMPORTRANGE(""https://docs.google.com/spreadsheets/d/11923uPwbBZFjjGgGUA6NLw09EwE0CqkOc4q9oUmW1yo/edit?usp=sharing"",""ลำปาง!I164"")"),0)</f>
        <v>0</v>
      </c>
      <c r="J371" s="188">
        <f ca="1">IFERROR(__xludf.DUMMYFUNCTION("IMPORTRANGE(""https://docs.google.com/spreadsheets/d/11923uPwbBZFjjGgGUA6NLw09EwE0CqkOc4q9oUmW1yo/edit?usp=sharing"",""ลำปาง!J164"")"),0)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IFERROR(__xludf.DUMMYFUNCTION("IMPORTRANGE(""https://docs.google.com/spreadsheets/d/11923uPwbBZFjjGgGUA6NLw09EwE0CqkOc4q9oUmW1yo/edit?usp=sharing"",""ลำปาง!I267"")"),10)</f>
        <v>10</v>
      </c>
      <c r="J372" s="188">
        <f ca="1">IFERROR(__xludf.DUMMYFUNCTION("IMPORTRANGE(""https://docs.google.com/spreadsheets/d/11923uPwbBZFjjGgGUA6NLw09EwE0CqkOc4q9oUmW1yo/edit?usp=sharing"",""ลำปาง!J267"")"),0)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IFERROR(__xludf.DUMMYFUNCTION("IMPORTRANGE(""https://docs.google.com/spreadsheets/d/11923uPwbBZFjjGgGUA6NLw09EwE0CqkOc4q9oUmW1yo/edit?usp=sharing"",""ลำปาง!I164"")"),0)</f>
        <v>0</v>
      </c>
      <c r="J373" s="203">
        <f ca="1">IFERROR(__xludf.DUMMYFUNCTION("IMPORTRANGE(""https://docs.google.com/spreadsheets/d/11923uPwbBZFjjGgGUA6NLw09EwE0CqkOc4q9oUmW1yo/edit?usp=sharing"",""ลำปาง!J164"")"),0)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IFERROR(__xludf.DUMMYFUNCTION("IMPORTRANGE(""https://docs.google.com/spreadsheets/d/11923uPwbBZFjjGgGUA6NLw09EwE0CqkOc4q9oUmW1yo/edit?usp=sharing"",""ลำปาง!I164"")"),0)</f>
        <v>0</v>
      </c>
      <c r="J374" s="187">
        <f ca="1">IFERROR(__xludf.DUMMYFUNCTION("IMPORTRANGE(""https://docs.google.com/spreadsheets/d/11923uPwbBZFjjGgGUA6NLw09EwE0CqkOc4q9oUmW1yo/edit?usp=sharing"",""ลำปาง!J164"")"),0)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IFERROR(__xludf.DUMMYFUNCTION("IMPORTRANGE(""https://docs.google.com/spreadsheets/d/11923uPwbBZFjjGgGUA6NLw09EwE0CqkOc4q9oUmW1yo/edit?usp=sharing"",""ลำปาง!I270"")"),50)</f>
        <v>50</v>
      </c>
      <c r="J375" s="187">
        <f ca="1">IFERROR(__xludf.DUMMYFUNCTION("IMPORTRANGE(""https://docs.google.com/spreadsheets/d/11923uPwbBZFjjGgGUA6NLw09EwE0CqkOc4q9oUmW1yo/edit?usp=sharing"",""ลำปาง!J270"")"),50)</f>
        <v>50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IFERROR(__xludf.DUMMYFUNCTION("IMPORTRANGE(""https://docs.google.com/spreadsheets/d/11923uPwbBZFjjGgGUA6NLw09EwE0CqkOc4q9oUmW1yo/edit?usp=sharing"",""ลำปาง!I271"")"),0)</f>
        <v>0</v>
      </c>
      <c r="J376" s="188">
        <f ca="1">IFERROR(__xludf.DUMMYFUNCTION("IMPORTRANGE(""https://docs.google.com/spreadsheets/d/11923uPwbBZFjjGgGUA6NLw09EwE0CqkOc4q9oUmW1yo/edit?usp=sharing"",""ลำปาง!J271"")"),0)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IFERROR(__xludf.DUMMYFUNCTION("IMPORTRANGE(""https://docs.google.com/spreadsheets/d/11923uPwbBZFjjGgGUA6NLw09EwE0CqkOc4q9oUmW1yo/edit?usp=sharing"",""ลำปาง!I272"")"),50)</f>
        <v>50</v>
      </c>
      <c r="J377" s="203">
        <f ca="1">IFERROR(__xludf.DUMMYFUNCTION("IMPORTRANGE(""https://docs.google.com/spreadsheets/d/11923uPwbBZFjjGgGUA6NLw09EwE0CqkOc4q9oUmW1yo/edit?usp=sharing"",""ลำปาง!J272"")"),50)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IFERROR(__xludf.DUMMYFUNCTION("IMPORTRANGE(""https://docs.google.com/spreadsheets/d/11923uPwbBZFjjGgGUA6NLw09EwE0CqkOc4q9oUmW1yo/edit?usp=sharing"",""ลำปาง!J273"")"),0)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IFERROR(__xludf.DUMMYFUNCTION("IMPORTRANGE(""https://docs.google.com/spreadsheets/d/11923uPwbBZFjjGgGUA6NLw09EwE0CqkOc4q9oUmW1yo/edit?usp=sharing"",""ลำปาง!J274"")"),0)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IFERROR(__xludf.DUMMYFUNCTION("IMPORTRANGE(""https://docs.google.com/spreadsheets/d/11923uPwbBZFjjGgGUA6NLw09EwE0CqkOc4q9oUmW1yo/edit?usp=sharing"",""ลำปาง!I275"")"),1000)</f>
        <v>1000</v>
      </c>
      <c r="J380" s="369">
        <f ca="1">IFERROR(__xludf.DUMMYFUNCTION("IMPORTRANGE(""https://docs.google.com/spreadsheets/d/11923uPwbBZFjjGgGUA6NLw09EwE0CqkOc4q9oUmW1yo/edit?usp=sharing"",""ลำปาง!J275"")"),0)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IFERROR(__xludf.DUMMYFUNCTION("IMPORTRANGE(""https://docs.google.com/spreadsheets/d/11923uPwbBZFjjGgGUA6NLw09EwE0CqkOc4q9oUmW1yo/edit?usp=sharing"",""ลำปาง!L275"")"),1028520)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IFERROR(__xludf.DUMMYFUNCTION("IMPORTRANGE(""https://docs.google.com/spreadsheets/d/11923uPwbBZFjjGgGUA6NLw09EwE0CqkOc4q9oUmW1yo/edit?usp=sharing"",""ลำปาง!M275"")"),118051.7)</f>
        <v>118051.7</v>
      </c>
      <c r="O380" s="371">
        <f ca="1">+IF(L380&gt;0,N380*100/L380,0)</f>
        <v>11.477822502236222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IFERROR(__xludf.DUMMYFUNCTION("IMPORTRANGE(""https://docs.google.com/spreadsheets/d/11923uPwbBZFjjGgGUA6NLw09EwE0CqkOc4q9oUmW1yo/edit?usp=sharing"",""ลำปาง!I276"")"),100)</f>
        <v>100</v>
      </c>
      <c r="J381" s="369">
        <f ca="1">IFERROR(__xludf.DUMMYFUNCTION("IMPORTRANGE(""https://docs.google.com/spreadsheets/d/11923uPwbBZFjjGgGUA6NLw09EwE0CqkOc4q9oUmW1yo/edit?usp=sharing"",""ลำปาง!J276"")"),100)</f>
        <v>100</v>
      </c>
      <c r="K381" s="370">
        <f t="shared" ca="1" si="108"/>
        <v>100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IFERROR(__xludf.DUMMYFUNCTION("IMPORTRANGE(""https://docs.google.com/spreadsheets/d/11923uPwbBZFjjGgGUA6NLw09EwE0CqkOc4q9oUmW1yo/edit?usp=sharing"",""ลำปาง!L277"")"),0)</f>
        <v>0</v>
      </c>
      <c r="M382" s="164"/>
      <c r="N382" s="164">
        <f ca="1">IFERROR(__xludf.DUMMYFUNCTION("IMPORTRANGE(""https://docs.google.com/spreadsheets/d/11923uPwbBZFjjGgGUA6NLw09EwE0CqkOc4q9oUmW1yo/edit?usp=sharing"",""ลำปาง!M277"")"),0)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IFERROR(__xludf.DUMMYFUNCTION("IMPORTRANGE(""https://docs.google.com/spreadsheets/d/11923uPwbBZFjjGgGUA6NLw09EwE0CqkOc4q9oUmW1yo/edit?usp=sharing"",""ลำปาง!L278"")"),1028520)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IFERROR(__xludf.DUMMYFUNCTION("IMPORTRANGE(""https://docs.google.com/spreadsheets/d/11923uPwbBZFjjGgGUA6NLw09EwE0CqkOc4q9oUmW1yo/edit?usp=sharing"",""ลำปาง!M278"")"),118051.7)</f>
        <v>118051.7</v>
      </c>
      <c r="O383" s="165">
        <f t="shared" ca="1" si="109"/>
        <v>11.477822502236222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IFERROR(__xludf.DUMMYFUNCTION("IMPORTRANGE(""https://docs.google.com/spreadsheets/d/11923uPwbBZFjjGgGUA6NLw09EwE0CqkOc4q9oUmW1yo/edit?usp=sharing"",""ลำปาง!L279"")"),0)</f>
        <v>0</v>
      </c>
      <c r="M384" s="168"/>
      <c r="N384" s="168">
        <f ca="1">IFERROR(__xludf.DUMMYFUNCTION("IMPORTRANGE(""https://docs.google.com/spreadsheets/d/11923uPwbBZFjjGgGUA6NLw09EwE0CqkOc4q9oUmW1yo/edit?usp=sharing"",""ลำปาง!M279"")"),0)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IFERROR(__xludf.DUMMYFUNCTION("IMPORTRANGE(""https://docs.google.com/spreadsheets/d/11923uPwbBZFjjGgGUA6NLw09EwE0CqkOc4q9oUmW1yo/edit?usp=sharing"",""ลำปาง!L280"")"),1028520)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IFERROR(__xludf.DUMMYFUNCTION("IMPORTRANGE(""https://docs.google.com/spreadsheets/d/11923uPwbBZFjjGgGUA6NLw09EwE0CqkOc4q9oUmW1yo/edit?usp=sharing"",""ลำปาง!M280"")"),118051.7)</f>
        <v>118051.7</v>
      </c>
      <c r="O385" s="168">
        <f t="shared" ca="1" si="109"/>
        <v>11.477822502236222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IFERROR(__xludf.DUMMYFUNCTION("IMPORTRANGE(""https://docs.google.com/spreadsheets/d/11923uPwbBZFjjGgGUA6NLw09EwE0CqkOc4q9oUmW1yo/edit?usp=sharing"",""ลำปาง!M281"")"),63105)</f>
        <v>63105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IFERROR(__xludf.DUMMYFUNCTION("IMPORTRANGE(""https://docs.google.com/spreadsheets/d/11923uPwbBZFjjGgGUA6NLw09EwE0CqkOc4q9oUmW1yo/edit?usp=sharing"",""ลำปาง!M282"")"),0)</f>
        <v>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IFERROR(__xludf.DUMMYFUNCTION("IMPORTRANGE(""https://docs.google.com/spreadsheets/d/11923uPwbBZFjjGgGUA6NLw09EwE0CqkOc4q9oUmW1yo/edit?usp=sharing"",""ลำปาง!M283"")"),42166.7)</f>
        <v>42166.7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IFERROR(__xludf.DUMMYFUNCTION("IMPORTRANGE(""https://docs.google.com/spreadsheets/d/11923uPwbBZFjjGgGUA6NLw09EwE0CqkOc4q9oUmW1yo/edit?usp=sharing"",""ลำปาง!M284"")"),12780)</f>
        <v>12780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IFERROR(__xludf.DUMMYFUNCTION("IMPORTRANGE(""https://docs.google.com/spreadsheets/d/11923uPwbBZFjjGgGUA6NLw09EwE0CqkOc4q9oUmW1yo/edit?usp=sharing"",""ลำปาง!J286"")"),0)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IFERROR(__xludf.DUMMYFUNCTION("IMPORTRANGE(""https://docs.google.com/spreadsheets/d/11923uPwbBZFjjGgGUA6NLw09EwE0CqkOc4q9oUmW1yo/edit?usp=sharing"",""ลำปาง!J287"")"),1)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IFERROR(__xludf.DUMMYFUNCTION("IMPORTRANGE(""https://docs.google.com/spreadsheets/d/11923uPwbBZFjjGgGUA6NLw09EwE0CqkOc4q9oUmW1yo/edit?usp=sharing"",""ลำปาง!J288"")"),1)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IFERROR(__xludf.DUMMYFUNCTION("IMPORTRANGE(""https://docs.google.com/spreadsheets/d/11923uPwbBZFjjGgGUA6NLw09EwE0CqkOc4q9oUmW1yo/edit?usp=sharing"",""ลำปาง!J289"")"),1)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IFERROR(__xludf.DUMMYFUNCTION("IMPORTRANGE(""https://docs.google.com/spreadsheets/d/11923uPwbBZFjjGgGUA6NLw09EwE0CqkOc4q9oUmW1yo/edit?usp=sharing"",""ลำปาง!I291"")"),100)</f>
        <v>100</v>
      </c>
      <c r="J396" s="197">
        <f ca="1">IFERROR(__xludf.DUMMYFUNCTION("IMPORTRANGE(""https://docs.google.com/spreadsheets/d/11923uPwbBZFjjGgGUA6NLw09EwE0CqkOc4q9oUmW1yo/edit?usp=sharing"",""ลำปาง!J291"")"),100)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IFERROR(__xludf.DUMMYFUNCTION("IMPORTRANGE(""https://docs.google.com/spreadsheets/d/11923uPwbBZFjjGgGUA6NLw09EwE0CqkOc4q9oUmW1yo/edit?usp=sharing"",""ลำปาง!I292"")"),1000)</f>
        <v>1000</v>
      </c>
      <c r="J397" s="197">
        <f ca="1">IFERROR(__xludf.DUMMYFUNCTION("IMPORTRANGE(""https://docs.google.com/spreadsheets/d/11923uPwbBZFjjGgGUA6NLw09EwE0CqkOc4q9oUmW1yo/edit?usp=sharing"",""ลำปาง!J292"")"),0)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IFERROR(__xludf.DUMMYFUNCTION("IMPORTRANGE(""https://docs.google.com/spreadsheets/d/11923uPwbBZFjjGgGUA6NLw09EwE0CqkOc4q9oUmW1yo/edit?usp=sharing"",""ลำปาง!I293"")"),100)</f>
        <v>100</v>
      </c>
      <c r="J398" s="197">
        <f ca="1">IFERROR(__xludf.DUMMYFUNCTION("IMPORTRANGE(""https://docs.google.com/spreadsheets/d/11923uPwbBZFjjGgGUA6NLw09EwE0CqkOc4q9oUmW1yo/edit?usp=sharing"",""ลำปาง!J293"")"),0)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IFERROR(__xludf.DUMMYFUNCTION("IMPORTRANGE(""https://docs.google.com/spreadsheets/d/11923uPwbBZFjjGgGUA6NLw09EwE0CqkOc4q9oUmW1yo/edit?usp=sharing"",""ลำปาง!J294"")"),0)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IFERROR(__xludf.DUMMYFUNCTION("IMPORTRANGE(""https://docs.google.com/spreadsheets/d/11923uPwbBZFjjGgGUA6NLw09EwE0CqkOc4q9oUmW1yo/edit?usp=sharing"",""ลำปาง!J295"")"),0)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IFERROR(__xludf.DUMMYFUNCTION("IMPORTRANGE(""https://docs.google.com/spreadsheets/d/11923uPwbBZFjjGgGUA6NLw09EwE0CqkOc4q9oUmW1yo/edit?usp=sharing"",""ลำปาง!I296"")"),120)</f>
        <v>120</v>
      </c>
      <c r="J401" s="369">
        <f ca="1">IFERROR(__xludf.DUMMYFUNCTION("IMPORTRANGE(""https://docs.google.com/spreadsheets/d/11923uPwbBZFjjGgGUA6NLw09EwE0CqkOc4q9oUmW1yo/edit?usp=sharing"",""ลำปาง!J296"")"),120)</f>
        <v>120</v>
      </c>
      <c r="K401" s="370">
        <f t="shared" ref="K401:K402" ca="1" si="111">IF(I401&gt;0,J401*100/I401,0)</f>
        <v>100</v>
      </c>
      <c r="L401" s="371">
        <f ca="1">IFERROR(__xludf.DUMMYFUNCTION("IMPORTRANGE(""https://docs.google.com/spreadsheets/d/11923uPwbBZFjjGgGUA6NLw09EwE0CqkOc4q9oUmW1yo/edit?usp=sharing"",""ลำปาง!L296"")"),144560)</f>
        <v>144560</v>
      </c>
      <c r="M401" s="371"/>
      <c r="N401" s="371">
        <f ca="1">IFERROR(__xludf.DUMMYFUNCTION("IMPORTRANGE(""https://docs.google.com/spreadsheets/d/11923uPwbBZFjjGgGUA6NLw09EwE0CqkOc4q9oUmW1yo/edit?usp=sharing"",""ลำปาง!M296"")"),31535)</f>
        <v>31535</v>
      </c>
      <c r="O401" s="371">
        <f ca="1">+IF(L401&gt;0,N401*100/L401,0)</f>
        <v>21.814471499723297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IFERROR(__xludf.DUMMYFUNCTION("IMPORTRANGE(""https://docs.google.com/spreadsheets/d/11923uPwbBZFjjGgGUA6NLw09EwE0CqkOc4q9oUmW1yo/edit?usp=sharing"",""ลำปาง!I297"")"),40)</f>
        <v>40</v>
      </c>
      <c r="J402" s="369">
        <f ca="1">IFERROR(__xludf.DUMMYFUNCTION("IMPORTRANGE(""https://docs.google.com/spreadsheets/d/11923uPwbBZFjjGgGUA6NLw09EwE0CqkOc4q9oUmW1yo/edit?usp=sharing"",""ลำปาง!J297"")"),0)</f>
        <v>0</v>
      </c>
      <c r="K402" s="370">
        <f t="shared" ca="1" si="111"/>
        <v>0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IFERROR(__xludf.DUMMYFUNCTION("IMPORTRANGE(""https://docs.google.com/spreadsheets/d/11923uPwbBZFjjGgGUA6NLw09EwE0CqkOc4q9oUmW1yo/edit?usp=sharing"",""ลำปาง!L298"")"),0)</f>
        <v>0</v>
      </c>
      <c r="M403" s="164"/>
      <c r="N403" s="168">
        <f ca="1">IFERROR(__xludf.DUMMYFUNCTION("IMPORTRANGE(""https://docs.google.com/spreadsheets/d/11923uPwbBZFjjGgGUA6NLw09EwE0CqkOc4q9oUmW1yo/edit?usp=sharing"",""ลำปาง!M298"")"),0)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IFERROR(__xludf.DUMMYFUNCTION("IMPORTRANGE(""https://docs.google.com/spreadsheets/d/11923uPwbBZFjjGgGUA6NLw09EwE0CqkOc4q9oUmW1yo/edit?usp=sharing"",""ลำปาง!L299"")"),144560)</f>
        <v>144560</v>
      </c>
      <c r="M404" s="165"/>
      <c r="N404" s="168">
        <f ca="1">IFERROR(__xludf.DUMMYFUNCTION("IMPORTRANGE(""https://docs.google.com/spreadsheets/d/11923uPwbBZFjjGgGUA6NLw09EwE0CqkOc4q9oUmW1yo/edit?usp=sharing"",""ลำปาง!M299"")"),31535)</f>
        <v>31535</v>
      </c>
      <c r="O404" s="168">
        <f t="shared" ca="1" si="112"/>
        <v>21.814471499723297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IFERROR(__xludf.DUMMYFUNCTION("IMPORTRANGE(""https://docs.google.com/spreadsheets/d/11923uPwbBZFjjGgGUA6NLw09EwE0CqkOc4q9oUmW1yo/edit?usp=sharing"",""ลำปาง!L300"")"),0)</f>
        <v>0</v>
      </c>
      <c r="M405" s="168"/>
      <c r="N405" s="168">
        <f ca="1">IFERROR(__xludf.DUMMYFUNCTION("IMPORTRANGE(""https://docs.google.com/spreadsheets/d/11923uPwbBZFjjGgGUA6NLw09EwE0CqkOc4q9oUmW1yo/edit?usp=sharing"",""ลำปาง!M300"")"),0)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IFERROR(__xludf.DUMMYFUNCTION("IMPORTRANGE(""https://docs.google.com/spreadsheets/d/11923uPwbBZFjjGgGUA6NLw09EwE0CqkOc4q9oUmW1yo/edit?usp=sharing"",""ลำปาง!L301"")"),144560)</f>
        <v>144560</v>
      </c>
      <c r="M406" s="168"/>
      <c r="N406" s="168">
        <f ca="1">IFERROR(__xludf.DUMMYFUNCTION("IMPORTRANGE(""https://docs.google.com/spreadsheets/d/11923uPwbBZFjjGgGUA6NLw09EwE0CqkOc4q9oUmW1yo/edit?usp=sharing"",""ลำปาง!M301"")"),31535)</f>
        <v>31535</v>
      </c>
      <c r="O406" s="168">
        <f t="shared" ca="1" si="112"/>
        <v>21.814471499723297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IFERROR(__xludf.DUMMYFUNCTION("IMPORTRANGE(""https://docs.google.com/spreadsheets/d/11923uPwbBZFjjGgGUA6NLw09EwE0CqkOc4q9oUmW1yo/edit?usp=sharing"",""ลำปาง!M302"")"),21535)</f>
        <v>21535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IFERROR(__xludf.DUMMYFUNCTION("IMPORTRANGE(""https://docs.google.com/spreadsheets/d/11923uPwbBZFjjGgGUA6NLw09EwE0CqkOc4q9oUmW1yo/edit?usp=sharing"",""ลำปาง!M303"")"),0)</f>
        <v>0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IFERROR(__xludf.DUMMYFUNCTION("IMPORTRANGE(""https://docs.google.com/spreadsheets/d/11923uPwbBZFjjGgGUA6NLw09EwE0CqkOc4q9oUmW1yo/edit?usp=sharing"",""ลำปาง!M304"")"),0)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IFERROR(__xludf.DUMMYFUNCTION("IMPORTRANGE(""https://docs.google.com/spreadsheets/d/11923uPwbBZFjjGgGUA6NLw09EwE0CqkOc4q9oUmW1yo/edit?usp=sharing"",""ลำปาง!M305"")"),10000)</f>
        <v>10000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IFERROR(__xludf.DUMMYFUNCTION("IMPORTRANGE(""https://docs.google.com/spreadsheets/d/11923uPwbBZFjjGgGUA6NLw09EwE0CqkOc4q9oUmW1yo/edit?usp=sharing"",""ลำปาง!J307"")"),0)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IFERROR(__xludf.DUMMYFUNCTION("IMPORTRANGE(""https://docs.google.com/spreadsheets/d/11923uPwbBZFjjGgGUA6NLw09EwE0CqkOc4q9oUmW1yo/edit?usp=sharing"",""ลำปาง!J308"")"),1)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IFERROR(__xludf.DUMMYFUNCTION("IMPORTRANGE(""https://docs.google.com/spreadsheets/d/11923uPwbBZFjjGgGUA6NLw09EwE0CqkOc4q9oUmW1yo/edit?usp=sharing"",""ลำปาง!J309"")"),1)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IFERROR(__xludf.DUMMYFUNCTION("IMPORTRANGE(""https://docs.google.com/spreadsheets/d/11923uPwbBZFjjGgGUA6NLw09EwE0CqkOc4q9oUmW1yo/edit?usp=sharing"",""ลำปาง!J310"")"),1)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IFERROR(__xludf.DUMMYFUNCTION("IMPORTRANGE(""https://docs.google.com/spreadsheets/d/11923uPwbBZFjjGgGUA6NLw09EwE0CqkOc4q9oUmW1yo/edit?usp=sharing"",""ลำปาง!I311"")"),40)</f>
        <v>40</v>
      </c>
      <c r="J416" s="200">
        <f ca="1">IFERROR(__xludf.DUMMYFUNCTION("IMPORTRANGE(""https://docs.google.com/spreadsheets/d/11923uPwbBZFjjGgGUA6NLw09EwE0CqkOc4q9oUmW1yo/edit?usp=sharing"",""ลำปาง!J311"")"),0)</f>
        <v>0</v>
      </c>
      <c r="K416" s="201">
        <f t="shared" ref="K416:K432" ca="1" si="113">IF(I416&gt;0,J416*100/I416,0)</f>
        <v>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IFERROR(__xludf.DUMMYFUNCTION("IMPORTRANGE(""https://docs.google.com/spreadsheets/d/11923uPwbBZFjjGgGUA6NLw09EwE0CqkOc4q9oUmW1yo/edit?usp=sharing"",""ลำปาง!I312"")"),10)</f>
        <v>10</v>
      </c>
      <c r="J417" s="390">
        <f ca="1">IFERROR(__xludf.DUMMYFUNCTION("IMPORTRANGE(""https://docs.google.com/spreadsheets/d/11923uPwbBZFjjGgGUA6NLw09EwE0CqkOc4q9oUmW1yo/edit?usp=sharing"",""ลำปาง!J312"")"),0)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IFERROR(__xludf.DUMMYFUNCTION("IMPORTRANGE(""https://docs.google.com/spreadsheets/d/11923uPwbBZFjjGgGUA6NLw09EwE0CqkOc4q9oUmW1yo/edit?usp=sharing"",""ลำปาง!I313"")"),30)</f>
        <v>30</v>
      </c>
      <c r="J418" s="391">
        <f ca="1">IFERROR(__xludf.DUMMYFUNCTION("IMPORTRANGE(""https://docs.google.com/spreadsheets/d/11923uPwbBZFjjGgGUA6NLw09EwE0CqkOc4q9oUmW1yo/edit?usp=sharing"",""ลำปาง!J313"")"),30)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IFERROR(__xludf.DUMMYFUNCTION("IMPORTRANGE(""https://docs.google.com/spreadsheets/d/11923uPwbBZFjjGgGUA6NLw09EwE0CqkOc4q9oUmW1yo/edit?usp=sharing"",""ลำปาง!I314"")"),10)</f>
        <v>10</v>
      </c>
      <c r="J419" s="392">
        <f ca="1">IFERROR(__xludf.DUMMYFUNCTION("IMPORTRANGE(""https://docs.google.com/spreadsheets/d/11923uPwbBZFjjGgGUA6NLw09EwE0CqkOc4q9oUmW1yo/edit?usp=sharing"",""ลำปาง!J314"")"),10)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IFERROR(__xludf.DUMMYFUNCTION("IMPORTRANGE(""https://docs.google.com/spreadsheets/d/11923uPwbBZFjjGgGUA6NLw09EwE0CqkOc4q9oUmW1yo/edit?usp=sharing"",""ลำปาง!I315"")"),10)</f>
        <v>10</v>
      </c>
      <c r="J420" s="392">
        <f ca="1">IFERROR(__xludf.DUMMYFUNCTION("IMPORTRANGE(""https://docs.google.com/spreadsheets/d/11923uPwbBZFjjGgGUA6NLw09EwE0CqkOc4q9oUmW1yo/edit?usp=sharing"",""ลำปาง!J315"")"),0)</f>
        <v>0</v>
      </c>
      <c r="K420" s="286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IFERROR(__xludf.DUMMYFUNCTION("IMPORTRANGE(""https://docs.google.com/spreadsheets/d/11923uPwbBZFjjGgGUA6NLw09EwE0CqkOc4q9oUmW1yo/edit?usp=sharing"",""ลำปาง!I316"")"),20)</f>
        <v>20</v>
      </c>
      <c r="J421" s="390">
        <f ca="1">IFERROR(__xludf.DUMMYFUNCTION("IMPORTRANGE(""https://docs.google.com/spreadsheets/d/11923uPwbBZFjjGgGUA6NLw09EwE0CqkOc4q9oUmW1yo/edit?usp=sharing"",""ลำปาง!J316"")"),0)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IFERROR(__xludf.DUMMYFUNCTION("IMPORTRANGE(""https://docs.google.com/spreadsheets/d/11923uPwbBZFjjGgGUA6NLw09EwE0CqkOc4q9oUmW1yo/edit?usp=sharing"",""ลำปาง!I317"")"),60)</f>
        <v>60</v>
      </c>
      <c r="J422" s="391">
        <f ca="1">IFERROR(__xludf.DUMMYFUNCTION("IMPORTRANGE(""https://docs.google.com/spreadsheets/d/11923uPwbBZFjjGgGUA6NLw09EwE0CqkOc4q9oUmW1yo/edit?usp=sharing"",""ลำปาง!J317"")"),60)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IFERROR(__xludf.DUMMYFUNCTION("IMPORTRANGE(""https://docs.google.com/spreadsheets/d/11923uPwbBZFjjGgGUA6NLw09EwE0CqkOc4q9oUmW1yo/edit?usp=sharing"",""ลำปาง!I318"")"),20)</f>
        <v>20</v>
      </c>
      <c r="J423" s="392">
        <f ca="1">IFERROR(__xludf.DUMMYFUNCTION("IMPORTRANGE(""https://docs.google.com/spreadsheets/d/11923uPwbBZFjjGgGUA6NLw09EwE0CqkOc4q9oUmW1yo/edit?usp=sharing"",""ลำปาง!J318"")"),20)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IFERROR(__xludf.DUMMYFUNCTION("IMPORTRANGE(""https://docs.google.com/spreadsheets/d/11923uPwbBZFjjGgGUA6NLw09EwE0CqkOc4q9oUmW1yo/edit?usp=sharing"",""ลำปาง!I319"")"),20)</f>
        <v>20</v>
      </c>
      <c r="J424" s="392">
        <f ca="1">IFERROR(__xludf.DUMMYFUNCTION("IMPORTRANGE(""https://docs.google.com/spreadsheets/d/11923uPwbBZFjjGgGUA6NLw09EwE0CqkOc4q9oUmW1yo/edit?usp=sharing"",""ลำปาง!J319"")"),0)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IFERROR(__xludf.DUMMYFUNCTION("IMPORTRANGE(""https://docs.google.com/spreadsheets/d/11923uPwbBZFjjGgGUA6NLw09EwE0CqkOc4q9oUmW1yo/edit?usp=sharing"",""ลำปาง!I320"")"),20)</f>
        <v>20</v>
      </c>
      <c r="J425" s="392">
        <f ca="1">IFERROR(__xludf.DUMMYFUNCTION("IMPORTRANGE(""https://docs.google.com/spreadsheets/d/11923uPwbBZFjjGgGUA6NLw09EwE0CqkOc4q9oUmW1yo/edit?usp=sharing"",""ลำปาง!J320"")"),0)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IFERROR(__xludf.DUMMYFUNCTION("IMPORTRANGE(""https://docs.google.com/spreadsheets/d/11923uPwbBZFjjGgGUA6NLw09EwE0CqkOc4q9oUmW1yo/edit?usp=sharing"",""ลำปาง!I321"")"),10)</f>
        <v>10</v>
      </c>
      <c r="J426" s="390">
        <f ca="1">IFERROR(__xludf.DUMMYFUNCTION("IMPORTRANGE(""https://docs.google.com/spreadsheets/d/11923uPwbBZFjjGgGUA6NLw09EwE0CqkOc4q9oUmW1yo/edit?usp=sharing"",""ลำปาง!J321"")"),0)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IFERROR(__xludf.DUMMYFUNCTION("IMPORTRANGE(""https://docs.google.com/spreadsheets/d/11923uPwbBZFjjGgGUA6NLw09EwE0CqkOc4q9oUmW1yo/edit?usp=sharing"",""ลำปาง!I322"")"),30)</f>
        <v>30</v>
      </c>
      <c r="J427" s="391">
        <f ca="1">IFERROR(__xludf.DUMMYFUNCTION("IMPORTRANGE(""https://docs.google.com/spreadsheets/d/11923uPwbBZFjjGgGUA6NLw09EwE0CqkOc4q9oUmW1yo/edit?usp=sharing"",""ลำปาง!J322"")"),30)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IFERROR(__xludf.DUMMYFUNCTION("IMPORTRANGE(""https://docs.google.com/spreadsheets/d/11923uPwbBZFjjGgGUA6NLw09EwE0CqkOc4q9oUmW1yo/edit?usp=sharing"",""ลำปาง!I323"")"),10)</f>
        <v>10</v>
      </c>
      <c r="J428" s="392">
        <f ca="1">IFERROR(__xludf.DUMMYFUNCTION("IMPORTRANGE(""https://docs.google.com/spreadsheets/d/11923uPwbBZFjjGgGUA6NLw09EwE0CqkOc4q9oUmW1yo/edit?usp=sharing"",""ลำปาง!J323"")"),10)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IFERROR(__xludf.DUMMYFUNCTION("IMPORTRANGE(""https://docs.google.com/spreadsheets/d/11923uPwbBZFjjGgGUA6NLw09EwE0CqkOc4q9oUmW1yo/edit?usp=sharing"",""ลำปาง!I324"")"),10)</f>
        <v>10</v>
      </c>
      <c r="J429" s="392">
        <f ca="1">IFERROR(__xludf.DUMMYFUNCTION("IMPORTRANGE(""https://docs.google.com/spreadsheets/d/11923uPwbBZFjjGgGUA6NLw09EwE0CqkOc4q9oUmW1yo/edit?usp=sharing"",""ลำปาง!J324"")"),0)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IFERROR(__xludf.DUMMYFUNCTION("IMPORTRANGE(""https://docs.google.com/spreadsheets/d/11923uPwbBZFjjGgGUA6NLw09EwE0CqkOc4q9oUmW1yo/edit?usp=sharing"",""ลำปาง!I325"")"),30)</f>
        <v>30</v>
      </c>
      <c r="J430" s="390">
        <f ca="1">IFERROR(__xludf.DUMMYFUNCTION("IMPORTRANGE(""https://docs.google.com/spreadsheets/d/11923uPwbBZFjjGgGUA6NLw09EwE0CqkOc4q9oUmW1yo/edit?usp=sharing"",""ลำปาง!J325"")"),0)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IFERROR(__xludf.DUMMYFUNCTION("IMPORTRANGE(""https://docs.google.com/spreadsheets/d/11923uPwbBZFjjGgGUA6NLw09EwE0CqkOc4q9oUmW1yo/edit?usp=sharing"",""ลำปาง!I326"")"),10)</f>
        <v>10</v>
      </c>
      <c r="J431" s="392">
        <f ca="1">IFERROR(__xludf.DUMMYFUNCTION("IMPORTRANGE(""https://docs.google.com/spreadsheets/d/11923uPwbBZFjjGgGUA6NLw09EwE0CqkOc4q9oUmW1yo/edit?usp=sharing"",""ลำปาง!J326"")"),0)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IFERROR(__xludf.DUMMYFUNCTION("IMPORTRANGE(""https://docs.google.com/spreadsheets/d/11923uPwbBZFjjGgGUA6NLw09EwE0CqkOc4q9oUmW1yo/edit?usp=sharing"",""ลำปาง!I327"")"),20)</f>
        <v>20</v>
      </c>
      <c r="J432" s="392">
        <f ca="1">IFERROR(__xludf.DUMMYFUNCTION("IMPORTRANGE(""https://docs.google.com/spreadsheets/d/11923uPwbBZFjjGgGUA6NLw09EwE0CqkOc4q9oUmW1yo/edit?usp=sharing"",""ลำปาง!J327"")"),0)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IFERROR(__xludf.DUMMYFUNCTION("IMPORTRANGE(""https://docs.google.com/spreadsheets/d/11923uPwbBZFjjGgGUA6NLw09EwE0CqkOc4q9oUmW1yo/edit?usp=sharing"",""ลำปาง!J328"")"),0)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IFERROR(__xludf.DUMMYFUNCTION("IMPORTRANGE(""https://docs.google.com/spreadsheets/d/11923uPwbBZFjjGgGUA6NLw09EwE0CqkOc4q9oUmW1yo/edit?usp=sharing"",""ลำปาง!J329"")"),0)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IFERROR(__xludf.DUMMYFUNCTION("IMPORTRANGE(""https://docs.google.com/spreadsheets/d/11923uPwbBZFjjGgGUA6NLw09EwE0CqkOc4q9oUmW1yo/edit?usp=sharing"",""ลำปาง!I330"")"),15)</f>
        <v>15</v>
      </c>
      <c r="J435" s="408">
        <f ca="1">IFERROR(__xludf.DUMMYFUNCTION("IMPORTRANGE(""https://docs.google.com/spreadsheets/d/11923uPwbBZFjjGgGUA6NLw09EwE0CqkOc4q9oUmW1yo/edit?usp=sharing"",""ลำปาง!J330"")"),15)</f>
        <v>15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IFERROR(__xludf.DUMMYFUNCTION("IMPORTRANGE(""https://docs.google.com/spreadsheets/d/11923uPwbBZFjjGgGUA6NLw09EwE0CqkOc4q9oUmW1yo/edit?usp=sharing"",""ลำปาง!L330"")"),106000)</f>
        <v>106000</v>
      </c>
      <c r="M435" s="410"/>
      <c r="N435" s="410">
        <f ca="1">IFERROR(__xludf.DUMMYFUNCTION("IMPORTRANGE(""https://docs.google.com/spreadsheets/d/11923uPwbBZFjjGgGUA6NLw09EwE0CqkOc4q9oUmW1yo/edit?usp=sharing"",""ลำปาง!M330"")"),45560.39)</f>
        <v>45560.39</v>
      </c>
      <c r="O435" s="410">
        <f t="shared" ref="O435:O439" ca="1" si="114">+IF(L435&gt;0,N435*100/L435,0)</f>
        <v>42.981499999999997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IFERROR(__xludf.DUMMYFUNCTION("IMPORTRANGE(""https://docs.google.com/spreadsheets/d/11923uPwbBZFjjGgGUA6NLw09EwE0CqkOc4q9oUmW1yo/edit?usp=sharing"",""ลำปาง!L331"")"),0)</f>
        <v>0</v>
      </c>
      <c r="M436" s="164"/>
      <c r="N436" s="168">
        <f ca="1">IFERROR(__xludf.DUMMYFUNCTION("IMPORTRANGE(""https://docs.google.com/spreadsheets/d/11923uPwbBZFjjGgGUA6NLw09EwE0CqkOc4q9oUmW1yo/edit?usp=sharing"",""ลำปาง!M331"")"),0)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IFERROR(__xludf.DUMMYFUNCTION("IMPORTRANGE(""https://docs.google.com/spreadsheets/d/11923uPwbBZFjjGgGUA6NLw09EwE0CqkOc4q9oUmW1yo/edit?usp=sharing"",""ลำปาง!L332"")"),106000)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IFERROR(__xludf.DUMMYFUNCTION("IMPORTRANGE(""https://docs.google.com/spreadsheets/d/11923uPwbBZFjjGgGUA6NLw09EwE0CqkOc4q9oUmW1yo/edit?usp=sharing"",""ลำปาง!M332"")"),45560.39)</f>
        <v>45560.39</v>
      </c>
      <c r="O437" s="168">
        <f t="shared" ca="1" si="114"/>
        <v>42.981499999999997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IFERROR(__xludf.DUMMYFUNCTION("IMPORTRANGE(""https://docs.google.com/spreadsheets/d/11923uPwbBZFjjGgGUA6NLw09EwE0CqkOc4q9oUmW1yo/edit?usp=sharing"",""ลำปาง!L333"")"),0)</f>
        <v>0</v>
      </c>
      <c r="M438" s="168"/>
      <c r="N438" s="168">
        <f ca="1">IFERROR(__xludf.DUMMYFUNCTION("IMPORTRANGE(""https://docs.google.com/spreadsheets/d/11923uPwbBZFjjGgGUA6NLw09EwE0CqkOc4q9oUmW1yo/edit?usp=sharing"",""ลำปาง!M333"")"),0)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IFERROR(__xludf.DUMMYFUNCTION("IMPORTRANGE(""https://docs.google.com/spreadsheets/d/11923uPwbBZFjjGgGUA6NLw09EwE0CqkOc4q9oUmW1yo/edit?usp=sharing"",""ลำปาง!L334"")"),106000)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IFERROR(__xludf.DUMMYFUNCTION("IMPORTRANGE(""https://docs.google.com/spreadsheets/d/11923uPwbBZFjjGgGUA6NLw09EwE0CqkOc4q9oUmW1yo/edit?usp=sharing"",""ลำปาง!M334"")"),45560.39)</f>
        <v>45560.39</v>
      </c>
      <c r="O439" s="168">
        <f t="shared" ca="1" si="114"/>
        <v>42.981499999999997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IFERROR(__xludf.DUMMYFUNCTION("IMPORTRANGE(""https://docs.google.com/spreadsheets/d/11923uPwbBZFjjGgGUA6NLw09EwE0CqkOc4q9oUmW1yo/edit?usp=sharing"",""ลำปาง!M335"")"),32200)</f>
        <v>32200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IFERROR(__xludf.DUMMYFUNCTION("IMPORTRANGE(""https://docs.google.com/spreadsheets/d/11923uPwbBZFjjGgGUA6NLw09EwE0CqkOc4q9oUmW1yo/edit?usp=sharing"",""ลำปาง!M336"")"),0)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IFERROR(__xludf.DUMMYFUNCTION("IMPORTRANGE(""https://docs.google.com/spreadsheets/d/11923uPwbBZFjjGgGUA6NLw09EwE0CqkOc4q9oUmW1yo/edit?usp=sharing"",""ลำปาง!M337"")"),0)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IFERROR(__xludf.DUMMYFUNCTION("IMPORTRANGE(""https://docs.google.com/spreadsheets/d/11923uPwbBZFjjGgGUA6NLw09EwE0CqkOc4q9oUmW1yo/edit?usp=sharing"",""ลำปาง!M338"")"),13360.39)</f>
        <v>13360.39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IFERROR(__xludf.DUMMYFUNCTION("IMPORTRANGE(""https://docs.google.com/spreadsheets/d/11923uPwbBZFjjGgGUA6NLw09EwE0CqkOc4q9oUmW1yo/edit?usp=sharing"",""ลำปาง!J340"")"),0)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IFERROR(__xludf.DUMMYFUNCTION("IMPORTRANGE(""https://docs.google.com/spreadsheets/d/11923uPwbBZFjjGgGUA6NLw09EwE0CqkOc4q9oUmW1yo/edit?usp=sharing"",""ลำปาง!J341"")"),1)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IFERROR(__xludf.DUMMYFUNCTION("IMPORTRANGE(""https://docs.google.com/spreadsheets/d/11923uPwbBZFjjGgGUA6NLw09EwE0CqkOc4q9oUmW1yo/edit?usp=sharing"",""ลำปาง!J342"")"),1)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IFERROR(__xludf.DUMMYFUNCTION("IMPORTRANGE(""https://docs.google.com/spreadsheets/d/11923uPwbBZFjjGgGUA6NLw09EwE0CqkOc4q9oUmW1yo/edit?usp=sharing"",""ลำปาง!J343"")"),0)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IFERROR(__xludf.DUMMYFUNCTION("IMPORTRANGE(""https://docs.google.com/spreadsheets/d/11923uPwbBZFjjGgGUA6NLw09EwE0CqkOc4q9oUmW1yo/edit?usp=sharing"",""ลำปาง!I344"")"),15)</f>
        <v>15</v>
      </c>
      <c r="J449" s="200">
        <f ca="1">IFERROR(__xludf.DUMMYFUNCTION("IMPORTRANGE(""https://docs.google.com/spreadsheets/d/11923uPwbBZFjjGgGUA6NLw09EwE0CqkOc4q9oUmW1yo/edit?usp=sharing"",""ลำปาง!J344"")"),15)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IFERROR(__xludf.DUMMYFUNCTION("IMPORTRANGE(""https://docs.google.com/spreadsheets/d/11923uPwbBZFjjGgGUA6NLw09EwE0CqkOc4q9oUmW1yo/edit?usp=sharing"",""ลำปาง!I345"")"),15)</f>
        <v>15</v>
      </c>
      <c r="J450" s="188">
        <f ca="1">IFERROR(__xludf.DUMMYFUNCTION("IMPORTRANGE(""https://docs.google.com/spreadsheets/d/11923uPwbBZFjjGgGUA6NLw09EwE0CqkOc4q9oUmW1yo/edit?usp=sharing"",""ลำปาง!J345"")"),15)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IFERROR(__xludf.DUMMYFUNCTION("IMPORTRANGE(""https://docs.google.com/spreadsheets/d/11923uPwbBZFjjGgGUA6NLw09EwE0CqkOc4q9oUmW1yo/edit?usp=sharing"",""ลำปาง!I346"")"),0)</f>
        <v>0</v>
      </c>
      <c r="J451" s="187">
        <f ca="1">IFERROR(__xludf.DUMMYFUNCTION("IMPORTRANGE(""https://docs.google.com/spreadsheets/d/11923uPwbBZFjjGgGUA6NLw09EwE0CqkOc4q9oUmW1yo/edit?usp=sharing"",""ลำปาง!J346"")"),0)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IFERROR(__xludf.DUMMYFUNCTION("IMPORTRANGE(""https://docs.google.com/spreadsheets/d/11923uPwbBZFjjGgGUA6NLw09EwE0CqkOc4q9oUmW1yo/edit?usp=sharing"",""ลำปาง!I347"")"),0)</f>
        <v>0</v>
      </c>
      <c r="J452" s="187">
        <f ca="1">IFERROR(__xludf.DUMMYFUNCTION("IMPORTRANGE(""https://docs.google.com/spreadsheets/d/11923uPwbBZFjjGgGUA6NLw09EwE0CqkOc4q9oUmW1yo/edit?usp=sharing"",""ลำปาง!J347"")"),0)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IFERROR(__xludf.DUMMYFUNCTION("IMPORTRANGE(""https://docs.google.com/spreadsheets/d/11923uPwbBZFjjGgGUA6NLw09EwE0CqkOc4q9oUmW1yo/edit?usp=sharing"",""ลำปาง!J348"")"),0)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IFERROR(__xludf.DUMMYFUNCTION("IMPORTRANGE(""https://docs.google.com/spreadsheets/d/11923uPwbBZFjjGgGUA6NLw09EwE0CqkOc4q9oUmW1yo/edit?usp=sharing"",""ลำปาง!J349"")"),0)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IFERROR(__xludf.DUMMYFUNCTION("IMPORTRANGE(""https://docs.google.com/spreadsheets/d/11923uPwbBZFjjGgGUA6NLw09EwE0CqkOc4q9oUmW1yo/edit?usp=sharing"",""ลำปาง!I350"")"),44744)</f>
        <v>44744</v>
      </c>
      <c r="J455" s="369">
        <f ca="1">IFERROR(__xludf.DUMMYFUNCTION("IMPORTRANGE(""https://docs.google.com/spreadsheets/d/11923uPwbBZFjjGgGUA6NLw09EwE0CqkOc4q9oUmW1yo/edit?usp=sharing"",""ลำปาง!J350"")"),0)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IFERROR(__xludf.DUMMYFUNCTION("IMPORTRANGE(""https://docs.google.com/spreadsheets/d/11923uPwbBZFjjGgGUA6NLw09EwE0CqkOc4q9oUmW1yo/edit?usp=sharing"",""ลำปาง!L350"")"),615200)</f>
        <v>615200</v>
      </c>
      <c r="M455" s="371"/>
      <c r="N455" s="371">
        <f ca="1">IFERROR(__xludf.DUMMYFUNCTION("IMPORTRANGE(""https://docs.google.com/spreadsheets/d/11923uPwbBZFjjGgGUA6NLw09EwE0CqkOc4q9oUmW1yo/edit?usp=sharing"",""ลำปาง!M350"")"),96746.7)</f>
        <v>96746.7</v>
      </c>
      <c r="O455" s="371">
        <f t="shared" ref="O455:O459" ca="1" si="116">+IF(L455&gt;0,N455*100/L455,0)</f>
        <v>15.72605656697009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IFERROR(__xludf.DUMMYFUNCTION("IMPORTRANGE(""https://docs.google.com/spreadsheets/d/11923uPwbBZFjjGgGUA6NLw09EwE0CqkOc4q9oUmW1yo/edit?usp=sharing"",""ลำปาง!L351"")"),0)</f>
        <v>0</v>
      </c>
      <c r="M456" s="164"/>
      <c r="N456" s="168">
        <f ca="1">IFERROR(__xludf.DUMMYFUNCTION("IMPORTRANGE(""https://docs.google.com/spreadsheets/d/11923uPwbBZFjjGgGUA6NLw09EwE0CqkOc4q9oUmW1yo/edit?usp=sharing"",""ลำปาง!M351"")"),0)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IFERROR(__xludf.DUMMYFUNCTION("IMPORTRANGE(""https://docs.google.com/spreadsheets/d/11923uPwbBZFjjGgGUA6NLw09EwE0CqkOc4q9oUmW1yo/edit?usp=sharing"",""ลำปาง!L352"")"),615200)</f>
        <v>615200</v>
      </c>
      <c r="M457" s="165"/>
      <c r="N457" s="168">
        <f ca="1">IFERROR(__xludf.DUMMYFUNCTION("IMPORTRANGE(""https://docs.google.com/spreadsheets/d/11923uPwbBZFjjGgGUA6NLw09EwE0CqkOc4q9oUmW1yo/edit?usp=sharing"",""ลำปาง!M352"")"),96746.7)</f>
        <v>96746.7</v>
      </c>
      <c r="O457" s="168">
        <f t="shared" ca="1" si="116"/>
        <v>15.72605656697009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IFERROR(__xludf.DUMMYFUNCTION("IMPORTRANGE(""https://docs.google.com/spreadsheets/d/11923uPwbBZFjjGgGUA6NLw09EwE0CqkOc4q9oUmW1yo/edit?usp=sharing"",""ลำปาง!L353"")"),0)</f>
        <v>0</v>
      </c>
      <c r="M458" s="168"/>
      <c r="N458" s="168">
        <f ca="1">IFERROR(__xludf.DUMMYFUNCTION("IMPORTRANGE(""https://docs.google.com/spreadsheets/d/11923uPwbBZFjjGgGUA6NLw09EwE0CqkOc4q9oUmW1yo/edit?usp=sharing"",""ลำปาง!M353"")"),0)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IFERROR(__xludf.DUMMYFUNCTION("IMPORTRANGE(""https://docs.google.com/spreadsheets/d/11923uPwbBZFjjGgGUA6NLw09EwE0CqkOc4q9oUmW1yo/edit?usp=sharing"",""ลำปาง!L354"")"),615200)</f>
        <v>615200</v>
      </c>
      <c r="M459" s="168"/>
      <c r="N459" s="168">
        <f ca="1">IFERROR(__xludf.DUMMYFUNCTION("IMPORTRANGE(""https://docs.google.com/spreadsheets/d/11923uPwbBZFjjGgGUA6NLw09EwE0CqkOc4q9oUmW1yo/edit?usp=sharing"",""ลำปาง!M354"")"),96746.7)</f>
        <v>96746.7</v>
      </c>
      <c r="O459" s="168">
        <f t="shared" ca="1" si="116"/>
        <v>15.72605656697009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IFERROR(__xludf.DUMMYFUNCTION("IMPORTRANGE(""https://docs.google.com/spreadsheets/d/11923uPwbBZFjjGgGUA6NLw09EwE0CqkOc4q9oUmW1yo/edit?usp=sharing"",""ลำปาง!M355"")"),0)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IFERROR(__xludf.DUMMYFUNCTION("IMPORTRANGE(""https://docs.google.com/spreadsheets/d/11923uPwbBZFjjGgGUA6NLw09EwE0CqkOc4q9oUmW1yo/edit?usp=sharing"",""ลำปาง!M356"")"),0)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IFERROR(__xludf.DUMMYFUNCTION("IMPORTRANGE(""https://docs.google.com/spreadsheets/d/11923uPwbBZFjjGgGUA6NLw09EwE0CqkOc4q9oUmW1yo/edit?usp=sharing"",""ลำปาง!M357"")"),42166.7)</f>
        <v>42166.7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IFERROR(__xludf.DUMMYFUNCTION("IMPORTRANGE(""https://docs.google.com/spreadsheets/d/11923uPwbBZFjjGgGUA6NLw09EwE0CqkOc4q9oUmW1yo/edit?usp=sharing"",""ลำปาง!M358"")"),54580)</f>
        <v>54580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IFERROR(__xludf.DUMMYFUNCTION("IMPORTRANGE(""https://docs.google.com/spreadsheets/d/11923uPwbBZFjjGgGUA6NLw09EwE0CqkOc4q9oUmW1yo/edit?usp=sharing"",""ลำปาง!I359"")"),44744)</f>
        <v>44744</v>
      </c>
      <c r="J464" s="266">
        <f ca="1">IFERROR(__xludf.DUMMYFUNCTION("IMPORTRANGE(""https://docs.google.com/spreadsheets/d/11923uPwbBZFjjGgGUA6NLw09EwE0CqkOc4q9oUmW1yo/edit?usp=sharing"",""ลำปาง!J359"")"),0)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IFERROR(__xludf.DUMMYFUNCTION("IMPORTRANGE(""https://docs.google.com/spreadsheets/d/11923uPwbBZFjjGgGUA6NLw09EwE0CqkOc4q9oUmW1yo/edit?usp=sharing"",""ลำปาง!I360"")"),44744)</f>
        <v>44744</v>
      </c>
      <c r="J465" s="418">
        <f ca="1">IFERROR(__xludf.DUMMYFUNCTION("IMPORTRANGE(""https://docs.google.com/spreadsheets/d/11923uPwbBZFjjGgGUA6NLw09EwE0CqkOc4q9oUmW1yo/edit?usp=sharing"",""ลำปาง!J360"")"),44745.86)</f>
        <v>44745.86</v>
      </c>
      <c r="K465" s="201">
        <f t="shared" ca="1" si="117"/>
        <v>100.00415698194172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IFERROR(__xludf.DUMMYFUNCTION("IMPORTRANGE(""https://docs.google.com/spreadsheets/d/11923uPwbBZFjjGgGUA6NLw09EwE0CqkOc4q9oUmW1yo/edit?usp=sharing"",""ลำปาง!I361"")"),10122)</f>
        <v>10122</v>
      </c>
      <c r="J466" s="418">
        <f ca="1">IFERROR(__xludf.DUMMYFUNCTION("IMPORTRANGE(""https://docs.google.com/spreadsheets/d/11923uPwbBZFjjGgGUA6NLw09EwE0CqkOc4q9oUmW1yo/edit?usp=sharing"",""ลำปาง!J361"")"),10122)</f>
        <v>10122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IFERROR(__xludf.DUMMYFUNCTION("IMPORTRANGE(""https://docs.google.com/spreadsheets/d/11923uPwbBZFjjGgGUA6NLw09EwE0CqkOc4q9oUmW1yo/edit?usp=sharing"",""ลำปาง!I362"")"),0)</f>
        <v>0</v>
      </c>
      <c r="J467" s="188">
        <f ca="1">IFERROR(__xludf.DUMMYFUNCTION("IMPORTRANGE(""https://docs.google.com/spreadsheets/d/11923uPwbBZFjjGgGUA6NLw09EwE0CqkOc4q9oUmW1yo/edit?usp=sharing"",""ลำปาง!J362"")"),39549.86)</f>
        <v>39549.86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IFERROR(__xludf.DUMMYFUNCTION("IMPORTRANGE(""https://docs.google.com/spreadsheets/d/11923uPwbBZFjjGgGUA6NLw09EwE0CqkOc4q9oUmW1yo/edit?usp=sharing"",""ลำปาง!I363"")"),0)</f>
        <v>0</v>
      </c>
      <c r="J468" s="188">
        <f ca="1">IFERROR(__xludf.DUMMYFUNCTION("IMPORTRANGE(""https://docs.google.com/spreadsheets/d/11923uPwbBZFjjGgGUA6NLw09EwE0CqkOc4q9oUmW1yo/edit?usp=sharing"",""ลำปาง!J363"")"),9246)</f>
        <v>9246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IFERROR(__xludf.DUMMYFUNCTION("IMPORTRANGE(""https://docs.google.com/spreadsheets/d/11923uPwbBZFjjGgGUA6NLw09EwE0CqkOc4q9oUmW1yo/edit?usp=sharing"",""ลำปาง!I364"")"),0)</f>
        <v>0</v>
      </c>
      <c r="J469" s="188">
        <f ca="1">IFERROR(__xludf.DUMMYFUNCTION("IMPORTRANGE(""https://docs.google.com/spreadsheets/d/11923uPwbBZFjjGgGUA6NLw09EwE0CqkOc4q9oUmW1yo/edit?usp=sharing"",""ลำปาง!J364"")"),3960)</f>
        <v>3960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IFERROR(__xludf.DUMMYFUNCTION("IMPORTRANGE(""https://docs.google.com/spreadsheets/d/11923uPwbBZFjjGgGUA6NLw09EwE0CqkOc4q9oUmW1yo/edit?usp=sharing"",""ลำปาง!I365"")"),0)</f>
        <v>0</v>
      </c>
      <c r="J470" s="188">
        <f ca="1">IFERROR(__xludf.DUMMYFUNCTION("IMPORTRANGE(""https://docs.google.com/spreadsheets/d/11923uPwbBZFjjGgGUA6NLw09EwE0CqkOc4q9oUmW1yo/edit?usp=sharing"",""ลำปาง!J365"")"),619)</f>
        <v>619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IFERROR(__xludf.DUMMYFUNCTION("IMPORTRANGE(""https://docs.google.com/spreadsheets/d/11923uPwbBZFjjGgGUA6NLw09EwE0CqkOc4q9oUmW1yo/edit?usp=sharing"",""ลำปาง!I366"")"),0)</f>
        <v>0</v>
      </c>
      <c r="J471" s="188">
        <f ca="1">IFERROR(__xludf.DUMMYFUNCTION("IMPORTRANGE(""https://docs.google.com/spreadsheets/d/11923uPwbBZFjjGgGUA6NLw09EwE0CqkOc4q9oUmW1yo/edit?usp=sharing"",""ลำปาง!J366"")"),1236)</f>
        <v>1236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IFERROR(__xludf.DUMMYFUNCTION("IMPORTRANGE(""https://docs.google.com/spreadsheets/d/11923uPwbBZFjjGgGUA6NLw09EwE0CqkOc4q9oUmW1yo/edit?usp=sharing"",""ลำปาง!I367"")"),0)</f>
        <v>0</v>
      </c>
      <c r="J472" s="188">
        <f ca="1">IFERROR(__xludf.DUMMYFUNCTION("IMPORTRANGE(""https://docs.google.com/spreadsheets/d/11923uPwbBZFjjGgGUA6NLw09EwE0CqkOc4q9oUmW1yo/edit?usp=sharing"",""ลำปาง!J367"")"),257)</f>
        <v>257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IFERROR(__xludf.DUMMYFUNCTION("IMPORTRANGE(""https://docs.google.com/spreadsheets/d/11923uPwbBZFjjGgGUA6NLw09EwE0CqkOc4q9oUmW1yo/edit?usp=sharing"",""ลำปาง!I368"")"),44744)</f>
        <v>44744</v>
      </c>
      <c r="J473" s="418">
        <f ca="1">IFERROR(__xludf.DUMMYFUNCTION("IMPORTRANGE(""https://docs.google.com/spreadsheets/d/11923uPwbBZFjjGgGUA6NLw09EwE0CqkOc4q9oUmW1yo/edit?usp=sharing"",""ลำปาง!J368"")"),0)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IFERROR(__xludf.DUMMYFUNCTION("IMPORTRANGE(""https://docs.google.com/spreadsheets/d/11923uPwbBZFjjGgGUA6NLw09EwE0CqkOc4q9oUmW1yo/edit?usp=sharing"",""ลำปาง!I369"")"),10122)</f>
        <v>10122</v>
      </c>
      <c r="J474" s="418">
        <f ca="1">IFERROR(__xludf.DUMMYFUNCTION("IMPORTRANGE(""https://docs.google.com/spreadsheets/d/11923uPwbBZFjjGgGUA6NLw09EwE0CqkOc4q9oUmW1yo/edit?usp=sharing"",""ลำปาง!J369"")"),0)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IFERROR(__xludf.DUMMYFUNCTION("IMPORTRANGE(""https://docs.google.com/spreadsheets/d/11923uPwbBZFjjGgGUA6NLw09EwE0CqkOc4q9oUmW1yo/edit?usp=sharing"",""ลำปาง!I370"")"),0)</f>
        <v>0</v>
      </c>
      <c r="J475" s="188">
        <f ca="1">IFERROR(__xludf.DUMMYFUNCTION("IMPORTRANGE(""https://docs.google.com/spreadsheets/d/11923uPwbBZFjjGgGUA6NLw09EwE0CqkOc4q9oUmW1yo/edit?usp=sharing"",""ลำปาง!J370"")"),0)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IFERROR(__xludf.DUMMYFUNCTION("IMPORTRANGE(""https://docs.google.com/spreadsheets/d/11923uPwbBZFjjGgGUA6NLw09EwE0CqkOc4q9oUmW1yo/edit?usp=sharing"",""ลำปาง!I371"")"),0)</f>
        <v>0</v>
      </c>
      <c r="J476" s="188">
        <f ca="1">IFERROR(__xludf.DUMMYFUNCTION("IMPORTRANGE(""https://docs.google.com/spreadsheets/d/11923uPwbBZFjjGgGUA6NLw09EwE0CqkOc4q9oUmW1yo/edit?usp=sharing"",""ลำปาง!J371"")"),0)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IFERROR(__xludf.DUMMYFUNCTION("IMPORTRANGE(""https://docs.google.com/spreadsheets/d/11923uPwbBZFjjGgGUA6NLw09EwE0CqkOc4q9oUmW1yo/edit?usp=sharing"",""ลำปาง!I372"")"),0)</f>
        <v>0</v>
      </c>
      <c r="J477" s="188">
        <f ca="1">IFERROR(__xludf.DUMMYFUNCTION("IMPORTRANGE(""https://docs.google.com/spreadsheets/d/11923uPwbBZFjjGgGUA6NLw09EwE0CqkOc4q9oUmW1yo/edit?usp=sharing"",""ลำปาง!J372"")"),0)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IFERROR(__xludf.DUMMYFUNCTION("IMPORTRANGE(""https://docs.google.com/spreadsheets/d/11923uPwbBZFjjGgGUA6NLw09EwE0CqkOc4q9oUmW1yo/edit?usp=sharing"",""ลำปาง!I373"")"),0)</f>
        <v>0</v>
      </c>
      <c r="J478" s="188">
        <f ca="1">IFERROR(__xludf.DUMMYFUNCTION("IMPORTRANGE(""https://docs.google.com/spreadsheets/d/11923uPwbBZFjjGgGUA6NLw09EwE0CqkOc4q9oUmW1yo/edit?usp=sharing"",""ลำปาง!J373"")"),0)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IFERROR(__xludf.DUMMYFUNCTION("IMPORTRANGE(""https://docs.google.com/spreadsheets/d/11923uPwbBZFjjGgGUA6NLw09EwE0CqkOc4q9oUmW1yo/edit?usp=sharing"",""ลำปาง!I374"")"),0)</f>
        <v>0</v>
      </c>
      <c r="J479" s="188">
        <f ca="1">IFERROR(__xludf.DUMMYFUNCTION("IMPORTRANGE(""https://docs.google.com/spreadsheets/d/11923uPwbBZFjjGgGUA6NLw09EwE0CqkOc4q9oUmW1yo/edit?usp=sharing"",""ลำปาง!J374"")"),0)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IFERROR(__xludf.DUMMYFUNCTION("IMPORTRANGE(""https://docs.google.com/spreadsheets/d/11923uPwbBZFjjGgGUA6NLw09EwE0CqkOc4q9oUmW1yo/edit?usp=sharing"",""ลำปาง!I375"")"),0)</f>
        <v>0</v>
      </c>
      <c r="J480" s="188">
        <f ca="1">IFERROR(__xludf.DUMMYFUNCTION("IMPORTRANGE(""https://docs.google.com/spreadsheets/d/11923uPwbBZFjjGgGUA6NLw09EwE0CqkOc4q9oUmW1yo/edit?usp=sharing"",""ลำปาง!J375"")"),0)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IFERROR(__xludf.DUMMYFUNCTION("IMPORTRANGE(""https://docs.google.com/spreadsheets/d/11923uPwbBZFjjGgGUA6NLw09EwE0CqkOc4q9oUmW1yo/edit?usp=sharing"",""ลำปาง!I376"")"),44744)</f>
        <v>44744</v>
      </c>
      <c r="J481" s="418">
        <f ca="1">IFERROR(__xludf.DUMMYFUNCTION("IMPORTRANGE(""https://docs.google.com/spreadsheets/d/11923uPwbBZFjjGgGUA6NLw09EwE0CqkOc4q9oUmW1yo/edit?usp=sharing"",""ลำปาง!J376"")"),0)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IFERROR(__xludf.DUMMYFUNCTION("IMPORTRANGE(""https://docs.google.com/spreadsheets/d/11923uPwbBZFjjGgGUA6NLw09EwE0CqkOc4q9oUmW1yo/edit?usp=sharing"",""ลำปาง!I377"")"),10122)</f>
        <v>10122</v>
      </c>
      <c r="J482" s="418">
        <f ca="1">IFERROR(__xludf.DUMMYFUNCTION("IMPORTRANGE(""https://docs.google.com/spreadsheets/d/11923uPwbBZFjjGgGUA6NLw09EwE0CqkOc4q9oUmW1yo/edit?usp=sharing"",""ลำปาง!J377"")"),0)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IFERROR(__xludf.DUMMYFUNCTION("IMPORTRANGE(""https://docs.google.com/spreadsheets/d/11923uPwbBZFjjGgGUA6NLw09EwE0CqkOc4q9oUmW1yo/edit?usp=sharing"",""ลำปาง!I378"")"),0)</f>
        <v>0</v>
      </c>
      <c r="J483" s="188">
        <f ca="1">IFERROR(__xludf.DUMMYFUNCTION("IMPORTRANGE(""https://docs.google.com/spreadsheets/d/11923uPwbBZFjjGgGUA6NLw09EwE0CqkOc4q9oUmW1yo/edit?usp=sharing"",""ลำปาง!J378"")"),0)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IFERROR(__xludf.DUMMYFUNCTION("IMPORTRANGE(""https://docs.google.com/spreadsheets/d/11923uPwbBZFjjGgGUA6NLw09EwE0CqkOc4q9oUmW1yo/edit?usp=sharing"",""ลำปาง!I379"")"),0)</f>
        <v>0</v>
      </c>
      <c r="J484" s="188">
        <f ca="1">IFERROR(__xludf.DUMMYFUNCTION("IMPORTRANGE(""https://docs.google.com/spreadsheets/d/11923uPwbBZFjjGgGUA6NLw09EwE0CqkOc4q9oUmW1yo/edit?usp=sharing"",""ลำปาง!J379"")"),0)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IFERROR(__xludf.DUMMYFUNCTION("IMPORTRANGE(""https://docs.google.com/spreadsheets/d/11923uPwbBZFjjGgGUA6NLw09EwE0CqkOc4q9oUmW1yo/edit?usp=sharing"",""ลำปาง!I380"")"),0)</f>
        <v>0</v>
      </c>
      <c r="J485" s="188">
        <f ca="1">IFERROR(__xludf.DUMMYFUNCTION("IMPORTRANGE(""https://docs.google.com/spreadsheets/d/11923uPwbBZFjjGgGUA6NLw09EwE0CqkOc4q9oUmW1yo/edit?usp=sharing"",""ลำปาง!J380"")"),0)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IFERROR(__xludf.DUMMYFUNCTION("IMPORTRANGE(""https://docs.google.com/spreadsheets/d/11923uPwbBZFjjGgGUA6NLw09EwE0CqkOc4q9oUmW1yo/edit?usp=sharing"",""ลำปาง!I381"")"),0)</f>
        <v>0</v>
      </c>
      <c r="J486" s="188">
        <f ca="1">IFERROR(__xludf.DUMMYFUNCTION("IMPORTRANGE(""https://docs.google.com/spreadsheets/d/11923uPwbBZFjjGgGUA6NLw09EwE0CqkOc4q9oUmW1yo/edit?usp=sharing"",""ลำปาง!J381"")"),0)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IFERROR(__xludf.DUMMYFUNCTION("IMPORTRANGE(""https://docs.google.com/spreadsheets/d/11923uPwbBZFjjGgGUA6NLw09EwE0CqkOc4q9oUmW1yo/edit?usp=sharing"",""ลำปาง!I382"")"),0)</f>
        <v>0</v>
      </c>
      <c r="J487" s="418">
        <f ca="1">IFERROR(__xludf.DUMMYFUNCTION("IMPORTRANGE(""https://docs.google.com/spreadsheets/d/11923uPwbBZFjjGgGUA6NLw09EwE0CqkOc4q9oUmW1yo/edit?usp=sharing"",""ลำปาง!J382"")"),0)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IFERROR(__xludf.DUMMYFUNCTION("IMPORTRANGE(""https://docs.google.com/spreadsheets/d/11923uPwbBZFjjGgGUA6NLw09EwE0CqkOc4q9oUmW1yo/edit?usp=sharing"",""ลำปาง!I383"")"),0)</f>
        <v>0</v>
      </c>
      <c r="J488" s="418">
        <f ca="1">IFERROR(__xludf.DUMMYFUNCTION("IMPORTRANGE(""https://docs.google.com/spreadsheets/d/11923uPwbBZFjjGgGUA6NLw09EwE0CqkOc4q9oUmW1yo/edit?usp=sharing"",""ลำปาง!J383"")"),0)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IFERROR(__xludf.DUMMYFUNCTION("IMPORTRANGE(""https://docs.google.com/spreadsheets/d/11923uPwbBZFjjGgGUA6NLw09EwE0CqkOc4q9oUmW1yo/edit?usp=sharing"",""ลำปาง!I384"")"),0)</f>
        <v>0</v>
      </c>
      <c r="J489" s="188">
        <f ca="1">IFERROR(__xludf.DUMMYFUNCTION("IMPORTRANGE(""https://docs.google.com/spreadsheets/d/11923uPwbBZFjjGgGUA6NLw09EwE0CqkOc4q9oUmW1yo/edit?usp=sharing"",""ลำปาง!J384"")"),0)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IFERROR(__xludf.DUMMYFUNCTION("IMPORTRANGE(""https://docs.google.com/spreadsheets/d/11923uPwbBZFjjGgGUA6NLw09EwE0CqkOc4q9oUmW1yo/edit?usp=sharing"",""ลำปาง!I385"")"),0)</f>
        <v>0</v>
      </c>
      <c r="J490" s="188">
        <f ca="1">IFERROR(__xludf.DUMMYFUNCTION("IMPORTRANGE(""https://docs.google.com/spreadsheets/d/11923uPwbBZFjjGgGUA6NLw09EwE0CqkOc4q9oUmW1yo/edit?usp=sharing"",""ลำปาง!J385"")"),0)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IFERROR(__xludf.DUMMYFUNCTION("IMPORTRANGE(""https://docs.google.com/spreadsheets/d/11923uPwbBZFjjGgGUA6NLw09EwE0CqkOc4q9oUmW1yo/edit?usp=sharing"",""ลำปาง!I386"")"),0)</f>
        <v>0</v>
      </c>
      <c r="J491" s="188">
        <f ca="1">IFERROR(__xludf.DUMMYFUNCTION("IMPORTRANGE(""https://docs.google.com/spreadsheets/d/11923uPwbBZFjjGgGUA6NLw09EwE0CqkOc4q9oUmW1yo/edit?usp=sharing"",""ลำปาง!J386"")"),0)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IFERROR(__xludf.DUMMYFUNCTION("IMPORTRANGE(""https://docs.google.com/spreadsheets/d/11923uPwbBZFjjGgGUA6NLw09EwE0CqkOc4q9oUmW1yo/edit?usp=sharing"",""ลำปาง!I387"")"),0)</f>
        <v>0</v>
      </c>
      <c r="J492" s="188">
        <f ca="1">IFERROR(__xludf.DUMMYFUNCTION("IMPORTRANGE(""https://docs.google.com/spreadsheets/d/11923uPwbBZFjjGgGUA6NLw09EwE0CqkOc4q9oUmW1yo/edit?usp=sharing"",""ลำปาง!J387"")"),0)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IFERROR(__xludf.DUMMYFUNCTION("IMPORTRANGE(""https://docs.google.com/spreadsheets/d/11923uPwbBZFjjGgGUA6NLw09EwE0CqkOc4q9oUmW1yo/edit?usp=sharing"",""ลำปาง!I388"")"),0)</f>
        <v>0</v>
      </c>
      <c r="J493" s="188">
        <f ca="1">IFERROR(__xludf.DUMMYFUNCTION("IMPORTRANGE(""https://docs.google.com/spreadsheets/d/11923uPwbBZFjjGgGUA6NLw09EwE0CqkOc4q9oUmW1yo/edit?usp=sharing"",""ลำปาง!J388"")"),0)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IFERROR(__xludf.DUMMYFUNCTION("IMPORTRANGE(""https://docs.google.com/spreadsheets/d/11923uPwbBZFjjGgGUA6NLw09EwE0CqkOc4q9oUmW1yo/edit?usp=sharing"",""ลำปาง!I389"")"),0)</f>
        <v>0</v>
      </c>
      <c r="J494" s="434">
        <f ca="1">IFERROR(__xludf.DUMMYFUNCTION("IMPORTRANGE(""https://docs.google.com/spreadsheets/d/11923uPwbBZFjjGgGUA6NLw09EwE0CqkOc4q9oUmW1yo/edit?usp=sharing"",""ลำปาง!J389"")"),0)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IFERROR(__xludf.DUMMYFUNCTION("IMPORTRANGE(""https://docs.google.com/spreadsheets/d/11923uPwbBZFjjGgGUA6NLw09EwE0CqkOc4q9oUmW1yo/edit?usp=sharing"",""ลำปาง!I390"")"),0)</f>
        <v>0</v>
      </c>
      <c r="J495" s="434">
        <f ca="1">IFERROR(__xludf.DUMMYFUNCTION("IMPORTRANGE(""https://docs.google.com/spreadsheets/d/11923uPwbBZFjjGgGUA6NLw09EwE0CqkOc4q9oUmW1yo/edit?usp=sharing"",""ลำปาง!J390"")"),0)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IFERROR(__xludf.DUMMYFUNCTION("IMPORTRANGE(""https://docs.google.com/spreadsheets/d/11923uPwbBZFjjGgGUA6NLw09EwE0CqkOc4q9oUmW1yo/edit?usp=sharing"",""ลำปาง!I391"")"),0)</f>
        <v>0</v>
      </c>
      <c r="J496" s="434">
        <f ca="1">IFERROR(__xludf.DUMMYFUNCTION("IMPORTRANGE(""https://docs.google.com/spreadsheets/d/11923uPwbBZFjjGgGUA6NLw09EwE0CqkOc4q9oUmW1yo/edit?usp=sharing"",""ลำปาง!J391"")"),0)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IFERROR(__xludf.DUMMYFUNCTION("IMPORTRANGE(""https://docs.google.com/spreadsheets/d/11923uPwbBZFjjGgGUA6NLw09EwE0CqkOc4q9oUmW1yo/edit?usp=sharing"",""ลำปาง!I392"")"),2837)</f>
        <v>2837</v>
      </c>
      <c r="J497" s="441">
        <f ca="1">IFERROR(__xludf.DUMMYFUNCTION("IMPORTRANGE(""https://docs.google.com/spreadsheets/d/11923uPwbBZFjjGgGUA6NLw09EwE0CqkOc4q9oUmW1yo/edit?usp=sharing"",""ลำปาง!J392"")"),730)</f>
        <v>730</v>
      </c>
      <c r="K497" s="442">
        <f t="shared" ca="1" si="117"/>
        <v>25.731406415227355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IFERROR(__xludf.DUMMYFUNCTION("IMPORTRANGE(""https://docs.google.com/spreadsheets/d/11923uPwbBZFjjGgGUA6NLw09EwE0CqkOc4q9oUmW1yo/edit?usp=sharing"",""ลำปาง!I393"")"),2837)</f>
        <v>2837</v>
      </c>
      <c r="J498" s="418">
        <f ca="1">IFERROR(__xludf.DUMMYFUNCTION("IMPORTRANGE(""https://docs.google.com/spreadsheets/d/11923uPwbBZFjjGgGUA6NLw09EwE0CqkOc4q9oUmW1yo/edit?usp=sharing"",""ลำปาง!J393"")"),730)</f>
        <v>730</v>
      </c>
      <c r="K498" s="163">
        <f t="shared" ca="1" si="117"/>
        <v>25.731406415227355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IFERROR(__xludf.DUMMYFUNCTION("IMPORTRANGE(""https://docs.google.com/spreadsheets/d/11923uPwbBZFjjGgGUA6NLw09EwE0CqkOc4q9oUmW1yo/edit?usp=sharing"",""ลำปาง!I394"")"),353)</f>
        <v>353</v>
      </c>
      <c r="J499" s="418">
        <f ca="1">IFERROR(__xludf.DUMMYFUNCTION("IMPORTRANGE(""https://docs.google.com/spreadsheets/d/11923uPwbBZFjjGgGUA6NLw09EwE0CqkOc4q9oUmW1yo/edit?usp=sharing"",""ลำปาง!J394"")"),97)</f>
        <v>97</v>
      </c>
      <c r="K499" s="201">
        <f t="shared" ca="1" si="117"/>
        <v>27.478753541076486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IFERROR(__xludf.DUMMYFUNCTION("IMPORTRANGE(""https://docs.google.com/spreadsheets/d/11923uPwbBZFjjGgGUA6NLw09EwE0CqkOc4q9oUmW1yo/edit?usp=sharing"",""ลำปาง!I395"")"),0)</f>
        <v>0</v>
      </c>
      <c r="J500" s="162">
        <f ca="1">IFERROR(__xludf.DUMMYFUNCTION("IMPORTRANGE(""https://docs.google.com/spreadsheets/d/11923uPwbBZFjjGgGUA6NLw09EwE0CqkOc4q9oUmW1yo/edit?usp=sharing"",""ลำปาง!J395"")"),730)</f>
        <v>730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IFERROR(__xludf.DUMMYFUNCTION("IMPORTRANGE(""https://docs.google.com/spreadsheets/d/11923uPwbBZFjjGgGUA6NLw09EwE0CqkOc4q9oUmW1yo/edit?usp=sharing"",""ลำปาง!I396"")"),0)</f>
        <v>0</v>
      </c>
      <c r="J501" s="162">
        <f ca="1">IFERROR(__xludf.DUMMYFUNCTION("IMPORTRANGE(""https://docs.google.com/spreadsheets/d/11923uPwbBZFjjGgGUA6NLw09EwE0CqkOc4q9oUmW1yo/edit?usp=sharing"",""ลำปาง!J396"")"),97)</f>
        <v>97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IFERROR(__xludf.DUMMYFUNCTION("IMPORTRANGE(""https://docs.google.com/spreadsheets/d/11923uPwbBZFjjGgGUA6NLw09EwE0CqkOc4q9oUmW1yo/edit?usp=sharing"",""ลำปาง!I397"")"),0)</f>
        <v>0</v>
      </c>
      <c r="J502" s="188">
        <f ca="1">IFERROR(__xludf.DUMMYFUNCTION("IMPORTRANGE(""https://docs.google.com/spreadsheets/d/11923uPwbBZFjjGgGUA6NLw09EwE0CqkOc4q9oUmW1yo/edit?usp=sharing"",""ลำปาง!J397"")"),730)</f>
        <v>730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IFERROR(__xludf.DUMMYFUNCTION("IMPORTRANGE(""https://docs.google.com/spreadsheets/d/11923uPwbBZFjjGgGUA6NLw09EwE0CqkOc4q9oUmW1yo/edit?usp=sharing"",""ลำปาง!I398"")"),0)</f>
        <v>0</v>
      </c>
      <c r="J503" s="197">
        <f ca="1">IFERROR(__xludf.DUMMYFUNCTION("IMPORTRANGE(""https://docs.google.com/spreadsheets/d/11923uPwbBZFjjGgGUA6NLw09EwE0CqkOc4q9oUmW1yo/edit?usp=sharing"",""ลำปาง!J398"")"),97)</f>
        <v>97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IFERROR(__xludf.DUMMYFUNCTION("IMPORTRANGE(""https://docs.google.com/spreadsheets/d/11923uPwbBZFjjGgGUA6NLw09EwE0CqkOc4q9oUmW1yo/edit?usp=sharing"",""ลำปาง!I399"")"),0)</f>
        <v>0</v>
      </c>
      <c r="J504" s="188">
        <f ca="1">IFERROR(__xludf.DUMMYFUNCTION("IMPORTRANGE(""https://docs.google.com/spreadsheets/d/11923uPwbBZFjjGgGUA6NLw09EwE0CqkOc4q9oUmW1yo/edit?usp=sharing"",""ลำปาง!J399"")"),0)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IFERROR(__xludf.DUMMYFUNCTION("IMPORTRANGE(""https://docs.google.com/spreadsheets/d/11923uPwbBZFjjGgGUA6NLw09EwE0CqkOc4q9oUmW1yo/edit?usp=sharing"",""ลำปาง!I400"")"),0)</f>
        <v>0</v>
      </c>
      <c r="J505" s="197">
        <f ca="1">IFERROR(__xludf.DUMMYFUNCTION("IMPORTRANGE(""https://docs.google.com/spreadsheets/d/11923uPwbBZFjjGgGUA6NLw09EwE0CqkOc4q9oUmW1yo/edit?usp=sharing"",""ลำปาง!J400"")"),0)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IFERROR(__xludf.DUMMYFUNCTION("IMPORTRANGE(""https://docs.google.com/spreadsheets/d/11923uPwbBZFjjGgGUA6NLw09EwE0CqkOc4q9oUmW1yo/edit?usp=sharing"",""ลำปาง!I401"")"),0)</f>
        <v>0</v>
      </c>
      <c r="J506" s="188">
        <f ca="1">IFERROR(__xludf.DUMMYFUNCTION("IMPORTRANGE(""https://docs.google.com/spreadsheets/d/11923uPwbBZFjjGgGUA6NLw09EwE0CqkOc4q9oUmW1yo/edit?usp=sharing"",""ลำปาง!J401"")"),0)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IFERROR(__xludf.DUMMYFUNCTION("IMPORTRANGE(""https://docs.google.com/spreadsheets/d/11923uPwbBZFjjGgGUA6NLw09EwE0CqkOc4q9oUmW1yo/edit?usp=sharing"",""ลำปาง!I402"")"),0)</f>
        <v>0</v>
      </c>
      <c r="J507" s="197">
        <f ca="1">IFERROR(__xludf.DUMMYFUNCTION("IMPORTRANGE(""https://docs.google.com/spreadsheets/d/11923uPwbBZFjjGgGUA6NLw09EwE0CqkOc4q9oUmW1yo/edit?usp=sharing"",""ลำปาง!J402"")"),0)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IFERROR(__xludf.DUMMYFUNCTION("IMPORTRANGE(""https://docs.google.com/spreadsheets/d/11923uPwbBZFjjGgGUA6NLw09EwE0CqkOc4q9oUmW1yo/edit?usp=sharing"",""ลำปาง!I403"")"),0)</f>
        <v>0</v>
      </c>
      <c r="J508" s="162">
        <f ca="1">IFERROR(__xludf.DUMMYFUNCTION("IMPORTRANGE(""https://docs.google.com/spreadsheets/d/11923uPwbBZFjjGgGUA6NLw09EwE0CqkOc4q9oUmW1yo/edit?usp=sharing"",""ลำปาง!J403"")"),0)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IFERROR(__xludf.DUMMYFUNCTION("IMPORTRANGE(""https://docs.google.com/spreadsheets/d/11923uPwbBZFjjGgGUA6NLw09EwE0CqkOc4q9oUmW1yo/edit?usp=sharing"",""ลำปาง!I404"")"),0)</f>
        <v>0</v>
      </c>
      <c r="J509" s="162">
        <f ca="1">IFERROR(__xludf.DUMMYFUNCTION("IMPORTRANGE(""https://docs.google.com/spreadsheets/d/11923uPwbBZFjjGgGUA6NLw09EwE0CqkOc4q9oUmW1yo/edit?usp=sharing"",""ลำปาง!J404"")"),0)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IFERROR(__xludf.DUMMYFUNCTION("IMPORTRANGE(""https://docs.google.com/spreadsheets/d/11923uPwbBZFjjGgGUA6NLw09EwE0CqkOc4q9oUmW1yo/edit?usp=sharing"",""ลำปาง!I405"")"),0)</f>
        <v>0</v>
      </c>
      <c r="J510" s="197">
        <f ca="1">IFERROR(__xludf.DUMMYFUNCTION("IMPORTRANGE(""https://docs.google.com/spreadsheets/d/11923uPwbBZFjjGgGUA6NLw09EwE0CqkOc4q9oUmW1yo/edit?usp=sharing"",""ลำปาง!J405"")"),0)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IFERROR(__xludf.DUMMYFUNCTION("IMPORTRANGE(""https://docs.google.com/spreadsheets/d/11923uPwbBZFjjGgGUA6NLw09EwE0CqkOc4q9oUmW1yo/edit?usp=sharing"",""ลำปาง!I406"")"),0)</f>
        <v>0</v>
      </c>
      <c r="J511" s="197">
        <f ca="1">IFERROR(__xludf.DUMMYFUNCTION("IMPORTRANGE(""https://docs.google.com/spreadsheets/d/11923uPwbBZFjjGgGUA6NLw09EwE0CqkOc4q9oUmW1yo/edit?usp=sharing"",""ลำปาง!J406"")"),0)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IFERROR(__xludf.DUMMYFUNCTION("IMPORTRANGE(""https://docs.google.com/spreadsheets/d/11923uPwbBZFjjGgGUA6NLw09EwE0CqkOc4q9oUmW1yo/edit?usp=sharing"",""ลำปาง!I407"")"),0)</f>
        <v>0</v>
      </c>
      <c r="J512" s="197">
        <f ca="1">IFERROR(__xludf.DUMMYFUNCTION("IMPORTRANGE(""https://docs.google.com/spreadsheets/d/11923uPwbBZFjjGgGUA6NLw09EwE0CqkOc4q9oUmW1yo/edit?usp=sharing"",""ลำปาง!J407"")"),0)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IFERROR(__xludf.DUMMYFUNCTION("IMPORTRANGE(""https://docs.google.com/spreadsheets/d/11923uPwbBZFjjGgGUA6NLw09EwE0CqkOc4q9oUmW1yo/edit?usp=sharing"",""ลำปาง!I408"")"),0)</f>
        <v>0</v>
      </c>
      <c r="J513" s="197">
        <f ca="1">IFERROR(__xludf.DUMMYFUNCTION("IMPORTRANGE(""https://docs.google.com/spreadsheets/d/11923uPwbBZFjjGgGUA6NLw09EwE0CqkOc4q9oUmW1yo/edit?usp=sharing"",""ลำปาง!J408"")"),0)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IFERROR(__xludf.DUMMYFUNCTION("IMPORTRANGE(""https://docs.google.com/spreadsheets/d/11923uPwbBZFjjGgGUA6NLw09EwE0CqkOc4q9oUmW1yo/edit?usp=sharing"",""ลำปาง!I409"")"),0)</f>
        <v>0</v>
      </c>
      <c r="J514" s="197">
        <f ca="1">IFERROR(__xludf.DUMMYFUNCTION("IMPORTRANGE(""https://docs.google.com/spreadsheets/d/11923uPwbBZFjjGgGUA6NLw09EwE0CqkOc4q9oUmW1yo/edit?usp=sharing"",""ลำปาง!J409"")"),0)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IFERROR(__xludf.DUMMYFUNCTION("IMPORTRANGE(""https://docs.google.com/spreadsheets/d/11923uPwbBZFjjGgGUA6NLw09EwE0CqkOc4q9oUmW1yo/edit?usp=sharing"",""ลำปาง!I410"")"),0)</f>
        <v>0</v>
      </c>
      <c r="J515" s="197">
        <f ca="1">IFERROR(__xludf.DUMMYFUNCTION("IMPORTRANGE(""https://docs.google.com/spreadsheets/d/11923uPwbBZFjjGgGUA6NLw09EwE0CqkOc4q9oUmW1yo/edit?usp=sharing"",""ลำปาง!J410"")"),0)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IFERROR(__xludf.DUMMYFUNCTION("IMPORTRANGE(""https://docs.google.com/spreadsheets/d/11923uPwbBZFjjGgGUA6NLw09EwE0CqkOc4q9oUmW1yo/edit?usp=sharing"",""ลำปาง!I411"")"),0)</f>
        <v>0</v>
      </c>
      <c r="J516" s="266">
        <f ca="1">IFERROR(__xludf.DUMMYFUNCTION("IMPORTRANGE(""https://docs.google.com/spreadsheets/d/11923uPwbBZFjjGgGUA6NLw09EwE0CqkOc4q9oUmW1yo/edit?usp=sharing"",""ลำปาง!J411"")"),0)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IFERROR(__xludf.DUMMYFUNCTION("IMPORTRANGE(""https://docs.google.com/spreadsheets/d/11923uPwbBZFjjGgGUA6NLw09EwE0CqkOc4q9oUmW1yo/edit?usp=sharing"",""ลำปาง!I412"")"),0)</f>
        <v>0</v>
      </c>
      <c r="J517" s="282">
        <f ca="1">IFERROR(__xludf.DUMMYFUNCTION("IMPORTRANGE(""https://docs.google.com/spreadsheets/d/11923uPwbBZFjjGgGUA6NLw09EwE0CqkOc4q9oUmW1yo/edit?usp=sharing"",""ลำปาง!J412"")"),0)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IFERROR(__xludf.DUMMYFUNCTION("IMPORTRANGE(""https://docs.google.com/spreadsheets/d/11923uPwbBZFjjGgGUA6NLw09EwE0CqkOc4q9oUmW1yo/edit?usp=sharing"",""ลำปาง!I413"")"),0)</f>
        <v>0</v>
      </c>
      <c r="J518" s="282">
        <f ca="1">IFERROR(__xludf.DUMMYFUNCTION("IMPORTRANGE(""https://docs.google.com/spreadsheets/d/11923uPwbBZFjjGgGUA6NLw09EwE0CqkOc4q9oUmW1yo/edit?usp=sharing"",""ลำปาง!J413"")"),0)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IFERROR(__xludf.DUMMYFUNCTION("IMPORTRANGE(""https://docs.google.com/spreadsheets/d/11923uPwbBZFjjGgGUA6NLw09EwE0CqkOc4q9oUmW1yo/edit?usp=sharing"",""ลำปาง!I414"")"),0)</f>
        <v>0</v>
      </c>
      <c r="J519" s="187">
        <f ca="1">IFERROR(__xludf.DUMMYFUNCTION("IMPORTRANGE(""https://docs.google.com/spreadsheets/d/11923uPwbBZFjjGgGUA6NLw09EwE0CqkOc4q9oUmW1yo/edit?usp=sharing"",""ลำปาง!J414"")"),0)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IFERROR(__xludf.DUMMYFUNCTION("IMPORTRANGE(""https://docs.google.com/spreadsheets/d/11923uPwbBZFjjGgGUA6NLw09EwE0CqkOc4q9oUmW1yo/edit?usp=sharing"",""ลำปาง!I415"")"),0)</f>
        <v>0</v>
      </c>
      <c r="J520" s="187">
        <f ca="1">IFERROR(__xludf.DUMMYFUNCTION("IMPORTRANGE(""https://docs.google.com/spreadsheets/d/11923uPwbBZFjjGgGUA6NLw09EwE0CqkOc4q9oUmW1yo/edit?usp=sharing"",""ลำปาง!J415"")"),0)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IFERROR(__xludf.DUMMYFUNCTION("IMPORTRANGE(""https://docs.google.com/spreadsheets/d/11923uPwbBZFjjGgGUA6NLw09EwE0CqkOc4q9oUmW1yo/edit?usp=sharing"",""ลำปาง!I416"")"),0)</f>
        <v>0</v>
      </c>
      <c r="J521" s="187">
        <f ca="1">IFERROR(__xludf.DUMMYFUNCTION("IMPORTRANGE(""https://docs.google.com/spreadsheets/d/11923uPwbBZFjjGgGUA6NLw09EwE0CqkOc4q9oUmW1yo/edit?usp=sharing"",""ลำปาง!J416"")"),0)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IFERROR(__xludf.DUMMYFUNCTION("IMPORTRANGE(""https://docs.google.com/spreadsheets/d/11923uPwbBZFjjGgGUA6NLw09EwE0CqkOc4q9oUmW1yo/edit?usp=sharing"",""ลำปาง!I417"")"),0)</f>
        <v>0</v>
      </c>
      <c r="J522" s="187">
        <f ca="1">IFERROR(__xludf.DUMMYFUNCTION("IMPORTRANGE(""https://docs.google.com/spreadsheets/d/11923uPwbBZFjjGgGUA6NLw09EwE0CqkOc4q9oUmW1yo/edit?usp=sharing"",""ลำปาง!J417"")"),0)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IFERROR(__xludf.DUMMYFUNCTION("IMPORTRANGE(""https://docs.google.com/spreadsheets/d/11923uPwbBZFjjGgGUA6NLw09EwE0CqkOc4q9oUmW1yo/edit?usp=sharing"",""ลำปาง!I418"")"),0)</f>
        <v>0</v>
      </c>
      <c r="J523" s="187">
        <f ca="1">IFERROR(__xludf.DUMMYFUNCTION("IMPORTRANGE(""https://docs.google.com/spreadsheets/d/11923uPwbBZFjjGgGUA6NLw09EwE0CqkOc4q9oUmW1yo/edit?usp=sharing"",""ลำปาง!J418"")"),54)</f>
        <v>54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IFERROR(__xludf.DUMMYFUNCTION("IMPORTRANGE(""https://docs.google.com/spreadsheets/d/11923uPwbBZFjjGgGUA6NLw09EwE0CqkOc4q9oUmW1yo/edit?usp=sharing"",""ลำปาง!I419"")"),0)</f>
        <v>0</v>
      </c>
      <c r="J524" s="187">
        <f ca="1">IFERROR(__xludf.DUMMYFUNCTION("IMPORTRANGE(""https://docs.google.com/spreadsheets/d/11923uPwbBZFjjGgGUA6NLw09EwE0CqkOc4q9oUmW1yo/edit?usp=sharing"",""ลำปาง!J419"")"),6)</f>
        <v>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IFERROR(__xludf.DUMMYFUNCTION("IMPORTRANGE(""https://docs.google.com/spreadsheets/d/11923uPwbBZFjjGgGUA6NLw09EwE0CqkOc4q9oUmW1yo/edit?usp=sharing"",""ลำปาง!I420"")"),54)</f>
        <v>54</v>
      </c>
      <c r="J525" s="282">
        <f ca="1">IFERROR(__xludf.DUMMYFUNCTION("IMPORTRANGE(""https://docs.google.com/spreadsheets/d/11923uPwbBZFjjGgGUA6NLw09EwE0CqkOc4q9oUmW1yo/edit?usp=sharing"",""ลำปาง!J420"")"),0)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IFERROR(__xludf.DUMMYFUNCTION("IMPORTRANGE(""https://docs.google.com/spreadsheets/d/11923uPwbBZFjjGgGUA6NLw09EwE0CqkOc4q9oUmW1yo/edit?usp=sharing"",""ลำปาง!I421"")"),6)</f>
        <v>6</v>
      </c>
      <c r="J526" s="282">
        <f ca="1">IFERROR(__xludf.DUMMYFUNCTION("IMPORTRANGE(""https://docs.google.com/spreadsheets/d/11923uPwbBZFjjGgGUA6NLw09EwE0CqkOc4q9oUmW1yo/edit?usp=sharing"",""ลำปาง!J421"")"),0)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IFERROR(__xludf.DUMMYFUNCTION("IMPORTRANGE(""https://docs.google.com/spreadsheets/d/11923uPwbBZFjjGgGUA6NLw09EwE0CqkOc4q9oUmW1yo/edit?usp=sharing"",""ลำปาง!I422"")"),0)</f>
        <v>0</v>
      </c>
      <c r="J527" s="197">
        <f ca="1">IFERROR(__xludf.DUMMYFUNCTION("IMPORTRANGE(""https://docs.google.com/spreadsheets/d/11923uPwbBZFjjGgGUA6NLw09EwE0CqkOc4q9oUmW1yo/edit?usp=sharing"",""ลำปาง!J422"")"),0)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IFERROR(__xludf.DUMMYFUNCTION("IMPORTRANGE(""https://docs.google.com/spreadsheets/d/11923uPwbBZFjjGgGUA6NLw09EwE0CqkOc4q9oUmW1yo/edit?usp=sharing"",""ลำปาง!I423"")"),0)</f>
        <v>0</v>
      </c>
      <c r="J528" s="197">
        <f ca="1">IFERROR(__xludf.DUMMYFUNCTION("IMPORTRANGE(""https://docs.google.com/spreadsheets/d/11923uPwbBZFjjGgGUA6NLw09EwE0CqkOc4q9oUmW1yo/edit?usp=sharing"",""ลำปาง!J423"")"),0)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IFERROR(__xludf.DUMMYFUNCTION("IMPORTRANGE(""https://docs.google.com/spreadsheets/d/11923uPwbBZFjjGgGUA6NLw09EwE0CqkOc4q9oUmW1yo/edit?usp=sharing"",""ลำปาง!I424"")"),0)</f>
        <v>0</v>
      </c>
      <c r="J529" s="197">
        <f ca="1">IFERROR(__xludf.DUMMYFUNCTION("IMPORTRANGE(""https://docs.google.com/spreadsheets/d/11923uPwbBZFjjGgGUA6NLw09EwE0CqkOc4q9oUmW1yo/edit?usp=sharing"",""ลำปาง!J424"")"),0)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IFERROR(__xludf.DUMMYFUNCTION("IMPORTRANGE(""https://docs.google.com/spreadsheets/d/11923uPwbBZFjjGgGUA6NLw09EwE0CqkOc4q9oUmW1yo/edit?usp=sharing"",""ลำปาง!I425"")"),0)</f>
        <v>0</v>
      </c>
      <c r="J530" s="197">
        <f ca="1">IFERROR(__xludf.DUMMYFUNCTION("IMPORTRANGE(""https://docs.google.com/spreadsheets/d/11923uPwbBZFjjGgGUA6NLw09EwE0CqkOc4q9oUmW1yo/edit?usp=sharing"",""ลำปาง!J425"")"),0)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IFERROR(__xludf.DUMMYFUNCTION("IMPORTRANGE(""https://docs.google.com/spreadsheets/d/11923uPwbBZFjjGgGUA6NLw09EwE0CqkOc4q9oUmW1yo/edit?usp=sharing"",""ลำปาง!I426"")"),0)</f>
        <v>0</v>
      </c>
      <c r="J531" s="197">
        <f ca="1">IFERROR(__xludf.DUMMYFUNCTION("IMPORTRANGE(""https://docs.google.com/spreadsheets/d/11923uPwbBZFjjGgGUA6NLw09EwE0CqkOc4q9oUmW1yo/edit?usp=sharing"",""ลำปาง!J426"")"),0)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IFERROR(__xludf.DUMMYFUNCTION("IMPORTRANGE(""https://docs.google.com/spreadsheets/d/11923uPwbBZFjjGgGUA6NLw09EwE0CqkOc4q9oUmW1yo/edit?usp=sharing"",""ลำปาง!I427"")"),0)</f>
        <v>0</v>
      </c>
      <c r="J532" s="464">
        <f ca="1">IFERROR(__xludf.DUMMYFUNCTION("IMPORTRANGE(""https://docs.google.com/spreadsheets/d/11923uPwbBZFjjGgGUA6NLw09EwE0CqkOc4q9oUmW1yo/edit?usp=sharing"",""ลำปาง!J427"")"),0)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IFERROR(__xludf.DUMMYFUNCTION("IMPORTRANGE(""https://docs.google.com/spreadsheets/d/11923uPwbBZFjjGgGUA6NLw09EwE0CqkOc4q9oUmW1yo/edit?usp=sharing"",""ลำปาง!I428"")"),22)</f>
        <v>22</v>
      </c>
      <c r="J533" s="408">
        <f ca="1">IFERROR(__xludf.DUMMYFUNCTION("IMPORTRANGE(""https://docs.google.com/spreadsheets/d/11923uPwbBZFjjGgGUA6NLw09EwE0CqkOc4q9oUmW1yo/edit?usp=sharing"",""ลำปาง!J428"")"),22)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IFERROR(__xludf.DUMMYFUNCTION("IMPORTRANGE(""https://docs.google.com/spreadsheets/d/11923uPwbBZFjjGgGUA6NLw09EwE0CqkOc4q9oUmW1yo/edit?usp=sharing"",""ลำปาง!L428"")"),34340)</f>
        <v>34340</v>
      </c>
      <c r="M533" s="410"/>
      <c r="N533" s="410">
        <f ca="1">IFERROR(__xludf.DUMMYFUNCTION("IMPORTRANGE(""https://docs.google.com/spreadsheets/d/11923uPwbBZFjjGgGUA6NLw09EwE0CqkOc4q9oUmW1yo/edit?usp=sharing"",""ลำปาง!M428"")"),28015.2399999999)</f>
        <v>28015.2399999999</v>
      </c>
      <c r="O533" s="410">
        <f t="shared" ref="O533:O537" ca="1" si="118">+IF(L533&gt;0,N533*100/L533,0)</f>
        <v>81.581945253348565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IFERROR(__xludf.DUMMYFUNCTION("IMPORTRANGE(""https://docs.google.com/spreadsheets/d/11923uPwbBZFjjGgGUA6NLw09EwE0CqkOc4q9oUmW1yo/edit?usp=sharing"",""ลำปาง!L429"")"),0)</f>
        <v>0</v>
      </c>
      <c r="M534" s="164"/>
      <c r="N534" s="168">
        <f ca="1">IFERROR(__xludf.DUMMYFUNCTION("IMPORTRANGE(""https://docs.google.com/spreadsheets/d/11923uPwbBZFjjGgGUA6NLw09EwE0CqkOc4q9oUmW1yo/edit?usp=sharing"",""ลำปาง!M429"")"),0)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IFERROR(__xludf.DUMMYFUNCTION("IMPORTRANGE(""https://docs.google.com/spreadsheets/d/11923uPwbBZFjjGgGUA6NLw09EwE0CqkOc4q9oUmW1yo/edit?usp=sharing"",""ลำปาง!L430"")"),34340)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IFERROR(__xludf.DUMMYFUNCTION("IMPORTRANGE(""https://docs.google.com/spreadsheets/d/11923uPwbBZFjjGgGUA6NLw09EwE0CqkOc4q9oUmW1yo/edit?usp=sharing"",""ลำปาง!M430"")"),28015.2399999999)</f>
        <v>28015.2399999999</v>
      </c>
      <c r="O535" s="168">
        <f t="shared" ca="1" si="118"/>
        <v>81.581945253348565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IFERROR(__xludf.DUMMYFUNCTION("IMPORTRANGE(""https://docs.google.com/spreadsheets/d/11923uPwbBZFjjGgGUA6NLw09EwE0CqkOc4q9oUmW1yo/edit?usp=sharing"",""ลำปาง!L431"")"),0)</f>
        <v>0</v>
      </c>
      <c r="M536" s="168"/>
      <c r="N536" s="168">
        <f ca="1">IFERROR(__xludf.DUMMYFUNCTION("IMPORTRANGE(""https://docs.google.com/spreadsheets/d/11923uPwbBZFjjGgGUA6NLw09EwE0CqkOc4q9oUmW1yo/edit?usp=sharing"",""ลำปาง!M431"")"),0)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IFERROR(__xludf.DUMMYFUNCTION("IMPORTRANGE(""https://docs.google.com/spreadsheets/d/11923uPwbBZFjjGgGUA6NLw09EwE0CqkOc4q9oUmW1yo/edit?usp=sharing"",""ลำปาง!L432"")"),34340)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IFERROR(__xludf.DUMMYFUNCTION("IMPORTRANGE(""https://docs.google.com/spreadsheets/d/11923uPwbBZFjjGgGUA6NLw09EwE0CqkOc4q9oUmW1yo/edit?usp=sharing"",""ลำปาง!M432"")"),28015.2399999999)</f>
        <v>28015.2399999999</v>
      </c>
      <c r="O537" s="168">
        <f t="shared" ca="1" si="118"/>
        <v>81.581945253348565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IFERROR(__xludf.DUMMYFUNCTION("IMPORTRANGE(""https://docs.google.com/spreadsheets/d/11923uPwbBZFjjGgGUA6NLw09EwE0CqkOc4q9oUmW1yo/edit?usp=sharing"",""ลำปาง!M433"")"),18740)</f>
        <v>18740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IFERROR(__xludf.DUMMYFUNCTION("IMPORTRANGE(""https://docs.google.com/spreadsheets/d/11923uPwbBZFjjGgGUA6NLw09EwE0CqkOc4q9oUmW1yo/edit?usp=sharing"",""ลำปาง!M434"")"),0)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IFERROR(__xludf.DUMMYFUNCTION("IMPORTRANGE(""https://docs.google.com/spreadsheets/d/11923uPwbBZFjjGgGUA6NLw09EwE0CqkOc4q9oUmW1yo/edit?usp=sharing"",""ลำปาง!M435"")"),0)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IFERROR(__xludf.DUMMYFUNCTION("IMPORTRANGE(""https://docs.google.com/spreadsheets/d/11923uPwbBZFjjGgGUA6NLw09EwE0CqkOc4q9oUmW1yo/edit?usp=sharing"",""ลำปาง!M436"")"),9275.24)</f>
        <v>9275.24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IFERROR(__xludf.DUMMYFUNCTION("IMPORTRANGE(""https://docs.google.com/spreadsheets/d/11923uPwbBZFjjGgGUA6NLw09EwE0CqkOc4q9oUmW1yo/edit?usp=sharing"",""ลำปาง!J438"")"),0)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IFERROR(__xludf.DUMMYFUNCTION("IMPORTRANGE(""https://docs.google.com/spreadsheets/d/11923uPwbBZFjjGgGUA6NLw09EwE0CqkOc4q9oUmW1yo/edit?usp=sharing"",""ลำปาง!J439"")"),1)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IFERROR(__xludf.DUMMYFUNCTION("IMPORTRANGE(""https://docs.google.com/spreadsheets/d/11923uPwbBZFjjGgGUA6NLw09EwE0CqkOc4q9oUmW1yo/edit?usp=sharing"",""ลำปาง!J440"")"),1)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IFERROR(__xludf.DUMMYFUNCTION("IMPORTRANGE(""https://docs.google.com/spreadsheets/d/11923uPwbBZFjjGgGUA6NLw09EwE0CqkOc4q9oUmW1yo/edit?usp=sharing"",""ลำปาง!J441"")"),1)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IFERROR(__xludf.DUMMYFUNCTION("IMPORTRANGE(""https://docs.google.com/spreadsheets/d/11923uPwbBZFjjGgGUA6NLw09EwE0CqkOc4q9oUmW1yo/edit?usp=sharing"",""ลำปาง!I442"")"),22)</f>
        <v>22</v>
      </c>
      <c r="J547" s="188">
        <f ca="1">IFERROR(__xludf.DUMMYFUNCTION("IMPORTRANGE(""https://docs.google.com/spreadsheets/d/11923uPwbBZFjjGgGUA6NLw09EwE0CqkOc4q9oUmW1yo/edit?usp=sharing"",""ลำปาง!J442"")"),22)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IFERROR(__xludf.DUMMYFUNCTION("IMPORTRANGE(""https://docs.google.com/spreadsheets/d/11923uPwbBZFjjGgGUA6NLw09EwE0CqkOc4q9oUmW1yo/edit?usp=sharing"",""ลำปาง!J166"")"),0)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IFERROR(__xludf.DUMMYFUNCTION("IMPORTRANGE(""https://docs.google.com/spreadsheets/d/11923uPwbBZFjjGgGUA6NLw09EwE0CqkOc4q9oUmW1yo/edit?usp=sharing"",""ลำปาง!J444"")"),0)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IFERROR(__xludf.DUMMYFUNCTION("IMPORTRANGE(""https://docs.google.com/spreadsheets/d/11923uPwbBZFjjGgGUA6NLw09EwE0CqkOc4q9oUmW1yo/edit?usp=sharing"",""ลำปาง!J445"")"),0)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IFERROR(__xludf.DUMMYFUNCTION("IMPORTRANGE(""https://docs.google.com/spreadsheets/d/11923uPwbBZFjjGgGUA6NLw09EwE0CqkOc4q9oUmW1yo/edit?usp=sharing"",""ลำปาง!I446"")"),3000)</f>
        <v>3000</v>
      </c>
      <c r="J551" s="408">
        <f ca="1">IFERROR(__xludf.DUMMYFUNCTION("IMPORTRANGE(""https://docs.google.com/spreadsheets/d/11923uPwbBZFjjGgGUA6NLw09EwE0CqkOc4q9oUmW1yo/edit?usp=sharing"",""ลำปาง!J446"")"),249)</f>
        <v>249</v>
      </c>
      <c r="K551" s="409">
        <f ca="1">IF(I551&gt;0,J551*100/I551,0)</f>
        <v>8.3000000000000007</v>
      </c>
      <c r="L551" s="410">
        <f ca="1">IFERROR(__xludf.DUMMYFUNCTION("IMPORTRANGE(""https://docs.google.com/spreadsheets/d/11923uPwbBZFjjGgGUA6NLw09EwE0CqkOc4q9oUmW1yo/edit?usp=sharing"",""ลำปาง!L446"")"),188000)</f>
        <v>188000</v>
      </c>
      <c r="M551" s="410"/>
      <c r="N551" s="410">
        <f ca="1">IFERROR(__xludf.DUMMYFUNCTION("IMPORTRANGE(""https://docs.google.com/spreadsheets/d/11923uPwbBZFjjGgGUA6NLw09EwE0CqkOc4q9oUmW1yo/edit?usp=sharing"",""ลำปาง!M446"")"),26726.96)</f>
        <v>26726.959999999999</v>
      </c>
      <c r="O551" s="410">
        <f t="shared" ref="O551:O555" ca="1" si="120">+IF(L551&gt;0,N551*100/L551,0)</f>
        <v>14.216468085106383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IFERROR(__xludf.DUMMYFUNCTION("IMPORTRANGE(""https://docs.google.com/spreadsheets/d/11923uPwbBZFjjGgGUA6NLw09EwE0CqkOc4q9oUmW1yo/edit?usp=sharing"",""ลำปาง!L447"")"),0)</f>
        <v>0</v>
      </c>
      <c r="M552" s="164"/>
      <c r="N552" s="168">
        <f ca="1">IFERROR(__xludf.DUMMYFUNCTION("IMPORTRANGE(""https://docs.google.com/spreadsheets/d/11923uPwbBZFjjGgGUA6NLw09EwE0CqkOc4q9oUmW1yo/edit?usp=sharing"",""ลำปาง!M447"")"),0)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IFERROR(__xludf.DUMMYFUNCTION("IMPORTRANGE(""https://docs.google.com/spreadsheets/d/11923uPwbBZFjjGgGUA6NLw09EwE0CqkOc4q9oUmW1yo/edit?usp=sharing"",""ลำปาง!L448"")"),188000)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IFERROR(__xludf.DUMMYFUNCTION("IMPORTRANGE(""https://docs.google.com/spreadsheets/d/11923uPwbBZFjjGgGUA6NLw09EwE0CqkOc4q9oUmW1yo/edit?usp=sharing"",""ลำปาง!M448"")"),26726.96)</f>
        <v>26726.959999999999</v>
      </c>
      <c r="O553" s="168">
        <f t="shared" ca="1" si="120"/>
        <v>14.216468085106383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IFERROR(__xludf.DUMMYFUNCTION("IMPORTRANGE(""https://docs.google.com/spreadsheets/d/11923uPwbBZFjjGgGUA6NLw09EwE0CqkOc4q9oUmW1yo/edit?usp=sharing"",""ลำปาง!L449"")"),0)</f>
        <v>0</v>
      </c>
      <c r="M554" s="168"/>
      <c r="N554" s="168">
        <f ca="1">IFERROR(__xludf.DUMMYFUNCTION("IMPORTRANGE(""https://docs.google.com/spreadsheets/d/11923uPwbBZFjjGgGUA6NLw09EwE0CqkOc4q9oUmW1yo/edit?usp=sharing"",""ลำปาง!M449"")"),0)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IFERROR(__xludf.DUMMYFUNCTION("IMPORTRANGE(""https://docs.google.com/spreadsheets/d/11923uPwbBZFjjGgGUA6NLw09EwE0CqkOc4q9oUmW1yo/edit?usp=sharing"",""ลำปาง!L450"")"),188000)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IFERROR(__xludf.DUMMYFUNCTION("IMPORTRANGE(""https://docs.google.com/spreadsheets/d/11923uPwbBZFjjGgGUA6NLw09EwE0CqkOc4q9oUmW1yo/edit?usp=sharing"",""ลำปาง!M450"")"),26726.96)</f>
        <v>26726.959999999999</v>
      </c>
      <c r="O555" s="168">
        <f t="shared" ca="1" si="120"/>
        <v>14.216468085106383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IFERROR(__xludf.DUMMYFUNCTION("IMPORTRANGE(""https://docs.google.com/spreadsheets/d/11923uPwbBZFjjGgGUA6NLw09EwE0CqkOc4q9oUmW1yo/edit?usp=sharing"",""ลำปาง!M451"")"),0)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IFERROR(__xludf.DUMMYFUNCTION("IMPORTRANGE(""https://docs.google.com/spreadsheets/d/11923uPwbBZFjjGgGUA6NLw09EwE0CqkOc4q9oUmW1yo/edit?usp=sharing"",""ลำปาง!M452"")"),0)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IFERROR(__xludf.DUMMYFUNCTION("IMPORTRANGE(""https://docs.google.com/spreadsheets/d/11923uPwbBZFjjGgGUA6NLw09EwE0CqkOc4q9oUmW1yo/edit?usp=sharing"",""ลำปาง!M453"")"),9135)</f>
        <v>9135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IFERROR(__xludf.DUMMYFUNCTION("IMPORTRANGE(""https://docs.google.com/spreadsheets/d/11923uPwbBZFjjGgGUA6NLw09EwE0CqkOc4q9oUmW1yo/edit?usp=sharing"",""ลำปาง!M454"")"),17591.96)</f>
        <v>17591.96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IFERROR(__xludf.DUMMYFUNCTION("IMPORTRANGE(""https://docs.google.com/spreadsheets/d/11923uPwbBZFjjGgGUA6NLw09EwE0CqkOc4q9oUmW1yo/edit?usp=sharing"",""ลำปาง!I455"")"),3000)</f>
        <v>3000</v>
      </c>
      <c r="J560" s="162">
        <f ca="1">IFERROR(__xludf.DUMMYFUNCTION("IMPORTRANGE(""https://docs.google.com/spreadsheets/d/11923uPwbBZFjjGgGUA6NLw09EwE0CqkOc4q9oUmW1yo/edit?usp=sharing"",""ลำปาง!J455"")"),249)</f>
        <v>249</v>
      </c>
      <c r="K560" s="223">
        <f t="shared" ref="K560:K564" ca="1" si="121">IF(I560&gt;0,J560*100/I560,0)</f>
        <v>8.3000000000000007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IFERROR(__xludf.DUMMYFUNCTION("IMPORTRANGE(""https://docs.google.com/spreadsheets/d/11923uPwbBZFjjGgGUA6NLw09EwE0CqkOc4q9oUmW1yo/edit?usp=sharing"",""ลำปาง!I456"")"),0)</f>
        <v>0</v>
      </c>
      <c r="J561" s="203">
        <f ca="1">IFERROR(__xludf.DUMMYFUNCTION("IMPORTRANGE(""https://docs.google.com/spreadsheets/d/11923uPwbBZFjjGgGUA6NLw09EwE0CqkOc4q9oUmW1yo/edit?usp=sharing"",""ลำปาง!J456"")"),23)</f>
        <v>23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f ca="1">IFERROR(__xludf.DUMMYFUNCTION("IMPORTRANGE(""https://docs.google.com/spreadsheets/d/11923uPwbBZFjjGgGUA6NLw09EwE0CqkOc4q9oUmW1yo/edit?usp=sharing"",""ลำปาง!I457"")"),0)</f>
        <v>0</v>
      </c>
      <c r="J562" s="203" t="str">
        <f ca="1">IFERROR(__xludf.DUMMYFUNCTION("IMPORTRANGE(""https://docs.google.com/spreadsheets/d/11923uPwbBZFjjGgGUA6NLw09EwE0CqkOc4q9oUmW1yo/edit?usp=sharing"",""ลำปาง!J457"")"),"")</f>
        <v/>
      </c>
      <c r="K562" s="163">
        <f t="shared" ca="1" si="121"/>
        <v>0</v>
      </c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f ca="1">IFERROR(__xludf.DUMMYFUNCTION("IMPORTRANGE(""https://docs.google.com/spreadsheets/d/11923uPwbBZFjjGgGUA6NLw09EwE0CqkOc4q9oUmW1yo/edit?usp=sharing"",""ลำปาง!I458"")"),0)</f>
        <v>0</v>
      </c>
      <c r="J563" s="187" t="str">
        <f ca="1">IFERROR(__xludf.DUMMYFUNCTION("IMPORTRANGE(""https://docs.google.com/spreadsheets/d/11923uPwbBZFjjGgGUA6NLw09EwE0CqkOc4q9oUmW1yo/edit?usp=sharing"",""ลำปาง!J458"")"),"")</f>
        <v/>
      </c>
      <c r="K563" s="163">
        <f t="shared" ca="1" si="121"/>
        <v>0</v>
      </c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IFERROR(__xludf.DUMMYFUNCTION("IMPORTRANGE(""https://docs.google.com/spreadsheets/d/11923uPwbBZFjjGgGUA6NLw09EwE0CqkOc4q9oUmW1yo/edit?usp=sharing"",""ลำปาง!I459"")"),1800)</f>
        <v>1800</v>
      </c>
      <c r="J564" s="369">
        <f ca="1">IFERROR(__xludf.DUMMYFUNCTION("IMPORTRANGE(""https://docs.google.com/spreadsheets/d/11923uPwbBZFjjGgGUA6NLw09EwE0CqkOc4q9oUmW1yo/edit?usp=sharing"",""ลำปาง!J459"")"),1278)</f>
        <v>1278</v>
      </c>
      <c r="K564" s="370">
        <f t="shared" ca="1" si="121"/>
        <v>71</v>
      </c>
      <c r="L564" s="371">
        <f ca="1">IFERROR(__xludf.DUMMYFUNCTION("IMPORTRANGE(""https://docs.google.com/spreadsheets/d/11923uPwbBZFjjGgGUA6NLw09EwE0CqkOc4q9oUmW1yo/edit?usp=sharing"",""ลำปาง!L459"")"),145040)</f>
        <v>145040</v>
      </c>
      <c r="M564" s="371"/>
      <c r="N564" s="371">
        <f ca="1">IFERROR(__xludf.DUMMYFUNCTION("IMPORTRANGE(""https://docs.google.com/spreadsheets/d/11923uPwbBZFjjGgGUA6NLw09EwE0CqkOc4q9oUmW1yo/edit?usp=sharing"",""ลำปาง!M459"")"),48420)</f>
        <v>48420</v>
      </c>
      <c r="O564" s="371">
        <f t="shared" ref="O564:O568" ca="1" si="122">+IF(L564&gt;0,N564*100/L564,0)</f>
        <v>33.383894098179816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IFERROR(__xludf.DUMMYFUNCTION("IMPORTRANGE(""https://docs.google.com/spreadsheets/d/11923uPwbBZFjjGgGUA6NLw09EwE0CqkOc4q9oUmW1yo/edit?usp=sharing"",""ลำปาง!L460"")"),0)</f>
        <v>0</v>
      </c>
      <c r="M565" s="164"/>
      <c r="N565" s="168">
        <f ca="1">IFERROR(__xludf.DUMMYFUNCTION("IMPORTRANGE(""https://docs.google.com/spreadsheets/d/11923uPwbBZFjjGgGUA6NLw09EwE0CqkOc4q9oUmW1yo/edit?usp=sharing"",""ลำปาง!M460"")"),0)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IFERROR(__xludf.DUMMYFUNCTION("IMPORTRANGE(""https://docs.google.com/spreadsheets/d/11923uPwbBZFjjGgGUA6NLw09EwE0CqkOc4q9oUmW1yo/edit?usp=sharing"",""ลำปาง!L461"")"),145040)</f>
        <v>145040</v>
      </c>
      <c r="M566" s="165"/>
      <c r="N566" s="168">
        <f ca="1">IFERROR(__xludf.DUMMYFUNCTION("IMPORTRANGE(""https://docs.google.com/spreadsheets/d/11923uPwbBZFjjGgGUA6NLw09EwE0CqkOc4q9oUmW1yo/edit?usp=sharing"",""ลำปาง!M461"")"),48420)</f>
        <v>48420</v>
      </c>
      <c r="O566" s="168">
        <f t="shared" ca="1" si="122"/>
        <v>33.383894098179816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IFERROR(__xludf.DUMMYFUNCTION("IMPORTRANGE(""https://docs.google.com/spreadsheets/d/11923uPwbBZFjjGgGUA6NLw09EwE0CqkOc4q9oUmW1yo/edit?usp=sharing"",""ลำปาง!L462"")"),0)</f>
        <v>0</v>
      </c>
      <c r="M567" s="168"/>
      <c r="N567" s="168">
        <f ca="1">IFERROR(__xludf.DUMMYFUNCTION("IMPORTRANGE(""https://docs.google.com/spreadsheets/d/11923uPwbBZFjjGgGUA6NLw09EwE0CqkOc4q9oUmW1yo/edit?usp=sharing"",""ลำปาง!M462"")"),0)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IFERROR(__xludf.DUMMYFUNCTION("IMPORTRANGE(""https://docs.google.com/spreadsheets/d/11923uPwbBZFjjGgGUA6NLw09EwE0CqkOc4q9oUmW1yo/edit?usp=sharing"",""ลำปาง!L463"")"),145040)</f>
        <v>145040</v>
      </c>
      <c r="M568" s="168"/>
      <c r="N568" s="168">
        <f ca="1">IFERROR(__xludf.DUMMYFUNCTION("IMPORTRANGE(""https://docs.google.com/spreadsheets/d/11923uPwbBZFjjGgGUA6NLw09EwE0CqkOc4q9oUmW1yo/edit?usp=sharing"",""ลำปาง!M463"")"),48420)</f>
        <v>48420</v>
      </c>
      <c r="O568" s="168">
        <f t="shared" ca="1" si="122"/>
        <v>33.383894098179816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IFERROR(__xludf.DUMMYFUNCTION("IMPORTRANGE(""https://docs.google.com/spreadsheets/d/11923uPwbBZFjjGgGUA6NLw09EwE0CqkOc4q9oUmW1yo/edit?usp=sharing"",""ลำปาง!M464"")"),0)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IFERROR(__xludf.DUMMYFUNCTION("IMPORTRANGE(""https://docs.google.com/spreadsheets/d/11923uPwbBZFjjGgGUA6NLw09EwE0CqkOc4q9oUmW1yo/edit?usp=sharing"",""ลำปาง!M465"")"),0)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IFERROR(__xludf.DUMMYFUNCTION("IMPORTRANGE(""https://docs.google.com/spreadsheets/d/11923uPwbBZFjjGgGUA6NLw09EwE0CqkOc4q9oUmW1yo/edit?usp=sharing"",""ลำปาง!M466"")"),22000)</f>
        <v>22000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IFERROR(__xludf.DUMMYFUNCTION("IMPORTRANGE(""https://docs.google.com/spreadsheets/d/11923uPwbBZFjjGgGUA6NLw09EwE0CqkOc4q9oUmW1yo/edit?usp=sharing"",""ลำปาง!M467"")"),26420)</f>
        <v>26420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IFERROR(__xludf.DUMMYFUNCTION("IMPORTRANGE(""https://docs.google.com/spreadsheets/d/11923uPwbBZFjjGgGUA6NLw09EwE0CqkOc4q9oUmW1yo/edit?usp=sharing"",""ลำปาง!I468"")"),1800)</f>
        <v>1800</v>
      </c>
      <c r="J573" s="418">
        <f ca="1">IFERROR(__xludf.DUMMYFUNCTION("IMPORTRANGE(""https://docs.google.com/spreadsheets/d/11923uPwbBZFjjGgGUA6NLw09EwE0CqkOc4q9oUmW1yo/edit?usp=sharing"",""ลำปาง!J468"")"),1278)</f>
        <v>1278</v>
      </c>
      <c r="K573" s="201">
        <f ca="1">IF(I573&gt;0,J573*100/I573,0)</f>
        <v>71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IFERROR(__xludf.DUMMYFUNCTION("IMPORTRANGE(""https://docs.google.com/spreadsheets/d/11923uPwbBZFjjGgGUA6NLw09EwE0CqkOc4q9oUmW1yo/edit?usp=sharing"",""ลำปาง!I470"")"),0)</f>
        <v>0</v>
      </c>
      <c r="J575" s="197">
        <f ca="1">IFERROR(__xludf.DUMMYFUNCTION("IMPORTRANGE(""https://docs.google.com/spreadsheets/d/11923uPwbBZFjjGgGUA6NLw09EwE0CqkOc4q9oUmW1yo/edit?usp=sharing"",""ลำปาง!J470"")"),2)</f>
        <v>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IFERROR(__xludf.DUMMYFUNCTION("IMPORTRANGE(""https://docs.google.com/spreadsheets/d/11923uPwbBZFjjGgGUA6NLw09EwE0CqkOc4q9oUmW1yo/edit?usp=sharing"",""ลำปาง!I471"")"),0)</f>
        <v>0</v>
      </c>
      <c r="J576" s="197">
        <f ca="1">IFERROR(__xludf.DUMMYFUNCTION("IMPORTRANGE(""https://docs.google.com/spreadsheets/d/11923uPwbBZFjjGgGUA6NLw09EwE0CqkOc4q9oUmW1yo/edit?usp=sharing"",""ลำปาง!J471"")"),171)</f>
        <v>171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IFERROR(__xludf.DUMMYFUNCTION("IMPORTRANGE(""https://docs.google.com/spreadsheets/d/11923uPwbBZFjjGgGUA6NLw09EwE0CqkOc4q9oUmW1yo/edit?usp=sharing"",""ลำปาง!I472"")"),0)</f>
        <v>0</v>
      </c>
      <c r="J577" s="188">
        <f ca="1">IFERROR(__xludf.DUMMYFUNCTION("IMPORTRANGE(""https://docs.google.com/spreadsheets/d/11923uPwbBZFjjGgGUA6NLw09EwE0CqkOc4q9oUmW1yo/edit?usp=sharing"",""ลำปาง!J472"")"),1107)</f>
        <v>1107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IFERROR(__xludf.DUMMYFUNCTION("IMPORTRANGE(""https://docs.google.com/spreadsheets/d/11923uPwbBZFjjGgGUA6NLw09EwE0CqkOc4q9oUmW1yo/edit?usp=sharing"",""ลำปาง!I473"")"),0)</f>
        <v>0</v>
      </c>
      <c r="J578" s="197">
        <f ca="1">IFERROR(__xludf.DUMMYFUNCTION("IMPORTRANGE(""https://docs.google.com/spreadsheets/d/11923uPwbBZFjjGgGUA6NLw09EwE0CqkOc4q9oUmW1yo/edit?usp=sharing"",""ลำปาง!J473"")"),0)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IFERROR(__xludf.DUMMYFUNCTION("IMPORTRANGE(""https://docs.google.com/spreadsheets/d/11923uPwbBZFjjGgGUA6NLw09EwE0CqkOc4q9oUmW1yo/edit?usp=sharing"",""ลำปาง!I474"")"),0)</f>
        <v>0</v>
      </c>
      <c r="J579" s="197">
        <f ca="1">IFERROR(__xludf.DUMMYFUNCTION("IMPORTRANGE(""https://docs.google.com/spreadsheets/d/11923uPwbBZFjjGgGUA6NLw09EwE0CqkOc4q9oUmW1yo/edit?usp=sharing"",""ลำปาง!J474"")"),0)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IFERROR(__xludf.DUMMYFUNCTION("IMPORTRANGE(""https://docs.google.com/spreadsheets/d/11923uPwbBZFjjGgGUA6NLw09EwE0CqkOc4q9oUmW1yo/edit?usp=sharing"",""ลำปาง!I475"")"),5)</f>
        <v>5</v>
      </c>
      <c r="J580" s="369">
        <f ca="1">IFERROR(__xludf.DUMMYFUNCTION("IMPORTRANGE(""https://docs.google.com/spreadsheets/d/11923uPwbBZFjjGgGUA6NLw09EwE0CqkOc4q9oUmW1yo/edit?usp=sharing"",""ลำปาง!J475"")"),4)</f>
        <v>4</v>
      </c>
      <c r="K580" s="370">
        <f ca="1">IF(I580&gt;0,J580*100/I580,0)</f>
        <v>80</v>
      </c>
      <c r="L580" s="371">
        <f ca="1">IFERROR(__xludf.DUMMYFUNCTION("IMPORTRANGE(""https://docs.google.com/spreadsheets/d/11923uPwbBZFjjGgGUA6NLw09EwE0CqkOc4q9oUmW1yo/edit?usp=sharing"",""ลำปาง!L475"")"),130655)</f>
        <v>130655</v>
      </c>
      <c r="M580" s="371"/>
      <c r="N580" s="371">
        <f ca="1">IFERROR(__xludf.DUMMYFUNCTION("IMPORTRANGE(""https://docs.google.com/spreadsheets/d/11923uPwbBZFjjGgGUA6NLw09EwE0CqkOc4q9oUmW1yo/edit?usp=sharing"",""ลำปาง!M475"")"),0)</f>
        <v>0</v>
      </c>
      <c r="O580" s="371">
        <f t="shared" ref="O580:O584" ca="1" si="124">+IF(L580&gt;0,N580*100/L580,0)</f>
        <v>0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IFERROR(__xludf.DUMMYFUNCTION("IMPORTRANGE(""https://docs.google.com/spreadsheets/d/11923uPwbBZFjjGgGUA6NLw09EwE0CqkOc4q9oUmW1yo/edit?usp=sharing"",""ลำปาง!L476"")"),0)</f>
        <v>0</v>
      </c>
      <c r="M581" s="164"/>
      <c r="N581" s="168">
        <f ca="1">IFERROR(__xludf.DUMMYFUNCTION("IMPORTRANGE(""https://docs.google.com/spreadsheets/d/11923uPwbBZFjjGgGUA6NLw09EwE0CqkOc4q9oUmW1yo/edit?usp=sharing"",""ลำปาง!M476"")"),0)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IFERROR(__xludf.DUMMYFUNCTION("IMPORTRANGE(""https://docs.google.com/spreadsheets/d/11923uPwbBZFjjGgGUA6NLw09EwE0CqkOc4q9oUmW1yo/edit?usp=sharing"",""ลำปาง!L477"")"),130655)</f>
        <v>130655</v>
      </c>
      <c r="M582" s="165"/>
      <c r="N582" s="168">
        <f ca="1">IFERROR(__xludf.DUMMYFUNCTION("IMPORTRANGE(""https://docs.google.com/spreadsheets/d/11923uPwbBZFjjGgGUA6NLw09EwE0CqkOc4q9oUmW1yo/edit?usp=sharing"",""ลำปาง!M477"")"),0)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IFERROR(__xludf.DUMMYFUNCTION("IMPORTRANGE(""https://docs.google.com/spreadsheets/d/11923uPwbBZFjjGgGUA6NLw09EwE0CqkOc4q9oUmW1yo/edit?usp=sharing"",""ลำปาง!L478"")"),0)</f>
        <v>0</v>
      </c>
      <c r="M583" s="168"/>
      <c r="N583" s="168">
        <f ca="1">IFERROR(__xludf.DUMMYFUNCTION("IMPORTRANGE(""https://docs.google.com/spreadsheets/d/11923uPwbBZFjjGgGUA6NLw09EwE0CqkOc4q9oUmW1yo/edit?usp=sharing"",""ลำปาง!M478"")"),0)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IFERROR(__xludf.DUMMYFUNCTION("IMPORTRANGE(""https://docs.google.com/spreadsheets/d/11923uPwbBZFjjGgGUA6NLw09EwE0CqkOc4q9oUmW1yo/edit?usp=sharing"",""ลำปาง!L479"")"),130655)</f>
        <v>130655</v>
      </c>
      <c r="M584" s="168"/>
      <c r="N584" s="168">
        <f ca="1">IFERROR(__xludf.DUMMYFUNCTION("IMPORTRANGE(""https://docs.google.com/spreadsheets/d/11923uPwbBZFjjGgGUA6NLw09EwE0CqkOc4q9oUmW1yo/edit?usp=sharing"",""ลำปาง!M479"")"),0)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IFERROR(__xludf.DUMMYFUNCTION("IMPORTRANGE(""https://docs.google.com/spreadsheets/d/11923uPwbBZFjjGgGUA6NLw09EwE0CqkOc4q9oUmW1yo/edit?usp=sharing"",""ลำปาง!M480"")"),0)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IFERROR(__xludf.DUMMYFUNCTION("IMPORTRANGE(""https://docs.google.com/spreadsheets/d/11923uPwbBZFjjGgGUA6NLw09EwE0CqkOc4q9oUmW1yo/edit?usp=sharing"",""ลำปาง!M481"")"),0)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IFERROR(__xludf.DUMMYFUNCTION("IMPORTRANGE(""https://docs.google.com/spreadsheets/d/11923uPwbBZFjjGgGUA6NLw09EwE0CqkOc4q9oUmW1yo/edit?usp=sharing"",""ลำปาง!M482"")"),0)</f>
        <v>0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IFERROR(__xludf.DUMMYFUNCTION("IMPORTRANGE(""https://docs.google.com/spreadsheets/d/11923uPwbBZFjjGgGUA6NLw09EwE0CqkOc4q9oUmW1yo/edit?usp=sharing"",""ลำปาง!M483"")"),0)</f>
        <v>0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IFERROR(__xludf.DUMMYFUNCTION("IMPORTRANGE(""https://docs.google.com/spreadsheets/d/11923uPwbBZFjjGgGUA6NLw09EwE0CqkOc4q9oUmW1yo/edit?usp=sharing"",""ลำปาง!I484"")"),5)</f>
        <v>5</v>
      </c>
      <c r="J589" s="187">
        <f ca="1">IFERROR(__xludf.DUMMYFUNCTION("IMPORTRANGE(""https://docs.google.com/spreadsheets/d/11923uPwbBZFjjGgGUA6NLw09EwE0CqkOc4q9oUmW1yo/edit?usp=sharing"",""ลำปาง!J484"")"),7)</f>
        <v>7</v>
      </c>
      <c r="K589" s="163">
        <f t="shared" ref="K589:K596" ca="1" si="125">IF(I589&gt;0,J589*100/I589,0)</f>
        <v>140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IFERROR(__xludf.DUMMYFUNCTION("IMPORTRANGE(""https://docs.google.com/spreadsheets/d/11923uPwbBZFjjGgGUA6NLw09EwE0CqkOc4q9oUmW1yo/edit?usp=sharing"",""ลำปาง!I485"")"),0)</f>
        <v>0</v>
      </c>
      <c r="J590" s="187">
        <f ca="1">IFERROR(__xludf.DUMMYFUNCTION("IMPORTRANGE(""https://docs.google.com/spreadsheets/d/11923uPwbBZFjjGgGUA6NLw09EwE0CqkOc4q9oUmW1yo/edit?usp=sharing"",""ลำปาง!J485"")"),4.37)</f>
        <v>4.37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IFERROR(__xludf.DUMMYFUNCTION("IMPORTRANGE(""https://docs.google.com/spreadsheets/d/11923uPwbBZFjjGgGUA6NLw09EwE0CqkOc4q9oUmW1yo/edit?usp=sharing"",""ลำปาง!I486"")"),5)</f>
        <v>5</v>
      </c>
      <c r="J591" s="187">
        <f ca="1">IFERROR(__xludf.DUMMYFUNCTION("IMPORTRANGE(""https://docs.google.com/spreadsheets/d/11923uPwbBZFjjGgGUA6NLw09EwE0CqkOc4q9oUmW1yo/edit?usp=sharing"",""ลำปาง!J486"")"),4)</f>
        <v>4</v>
      </c>
      <c r="K591" s="163">
        <f t="shared" ca="1" si="125"/>
        <v>80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IFERROR(__xludf.DUMMYFUNCTION("IMPORTRANGE(""https://docs.google.com/spreadsheets/d/11923uPwbBZFjjGgGUA6NLw09EwE0CqkOc4q9oUmW1yo/edit?usp=sharing"",""ลำปาง!I487"")"),0)</f>
        <v>0</v>
      </c>
      <c r="J592" s="187">
        <f ca="1">IFERROR(__xludf.DUMMYFUNCTION("IMPORTRANGE(""https://docs.google.com/spreadsheets/d/11923uPwbBZFjjGgGUA6NLw09EwE0CqkOc4q9oUmW1yo/edit?usp=sharing"",""ลำปาง!J487"")"),3.23)</f>
        <v>3.23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IFERROR(__xludf.DUMMYFUNCTION("IMPORTRANGE(""https://docs.google.com/spreadsheets/d/11923uPwbBZFjjGgGUA6NLw09EwE0CqkOc4q9oUmW1yo/edit?usp=sharing"",""ลำปาง!I488"")"),5)</f>
        <v>5</v>
      </c>
      <c r="J593" s="187">
        <f ca="1">IFERROR(__xludf.DUMMYFUNCTION("IMPORTRANGE(""https://docs.google.com/spreadsheets/d/11923uPwbBZFjjGgGUA6NLw09EwE0CqkOc4q9oUmW1yo/edit?usp=sharing"",""ลำปาง!J488"")"),0)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IFERROR(__xludf.DUMMYFUNCTION("IMPORTRANGE(""https://docs.google.com/spreadsheets/d/11923uPwbBZFjjGgGUA6NLw09EwE0CqkOc4q9oUmW1yo/edit?usp=sharing"",""ลำปาง!I489"")"),0)</f>
        <v>0</v>
      </c>
      <c r="J594" s="187">
        <f ca="1">IFERROR(__xludf.DUMMYFUNCTION("IMPORTRANGE(""https://docs.google.com/spreadsheets/d/11923uPwbBZFjjGgGUA6NLw09EwE0CqkOc4q9oUmW1yo/edit?usp=sharing"",""ลำปาง!J489"")"),0)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IFERROR(__xludf.DUMMYFUNCTION("IMPORTRANGE(""https://docs.google.com/spreadsheets/d/11923uPwbBZFjjGgGUA6NLw09EwE0CqkOc4q9oUmW1yo/edit?usp=sharing"",""ลำปาง!I490"")"),5)</f>
        <v>5</v>
      </c>
      <c r="J595" s="187">
        <f ca="1">IFERROR(__xludf.DUMMYFUNCTION("IMPORTRANGE(""https://docs.google.com/spreadsheets/d/11923uPwbBZFjjGgGUA6NLw09EwE0CqkOc4q9oUmW1yo/edit?usp=sharing"",""ลำปาง!J490"")"),4)</f>
        <v>4</v>
      </c>
      <c r="K595" s="163">
        <f t="shared" ca="1" si="125"/>
        <v>80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IFERROR(__xludf.DUMMYFUNCTION("IMPORTRANGE(""https://docs.google.com/spreadsheets/d/11923uPwbBZFjjGgGUA6NLw09EwE0CqkOc4q9oUmW1yo/edit?usp=sharing"",""ลำปาง!I491"")"),0)</f>
        <v>0</v>
      </c>
      <c r="J596" s="240">
        <f ca="1">IFERROR(__xludf.DUMMYFUNCTION("IMPORTRANGE(""https://docs.google.com/spreadsheets/d/11923uPwbBZFjjGgGUA6NLw09EwE0CqkOc4q9oUmW1yo/edit?usp=sharing"",""ลำปาง!J491"")"),3.23)</f>
        <v>3.23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IFERROR(__xludf.DUMMYFUNCTION("IMPORTRANGE(""https://docs.google.com/spreadsheets/d/11923uPwbBZFjjGgGUA6NLw09EwE0CqkOc4q9oUmW1yo/edit?usp=sharing"",""ลำปาง!I492"")"),100)</f>
        <v>100</v>
      </c>
      <c r="J597" s="485">
        <f ca="1">IFERROR(__xludf.DUMMYFUNCTION("IMPORTRANGE(""https://docs.google.com/spreadsheets/d/11923uPwbBZFjjGgGUA6NLw09EwE0CqkOc4q9oUmW1yo/edit?usp=sharing"",""ลำปาง!J492"")"),0)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IFERROR(__xludf.DUMMYFUNCTION("IMPORTRANGE(""https://docs.google.com/spreadsheets/d/11923uPwbBZFjjGgGUA6NLw09EwE0CqkOc4q9oUmW1yo/edit?usp=sharing"",""ลำปาง!L492"")"),8900)</f>
        <v>8900</v>
      </c>
      <c r="M597" s="410"/>
      <c r="N597" s="410">
        <f ca="1">IFERROR(__xludf.DUMMYFUNCTION("IMPORTRANGE(""https://docs.google.com/spreadsheets/d/11923uPwbBZFjjGgGUA6NLw09EwE0CqkOc4q9oUmW1yo/edit?usp=sharing"",""ลำปาง!M492"")"),3400)</f>
        <v>3400</v>
      </c>
      <c r="O597" s="410">
        <f t="shared" ref="O597:O601" ca="1" si="126">+IF(L597&gt;0,N597*100/L597,0)</f>
        <v>38.202247191011239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IFERROR(__xludf.DUMMYFUNCTION("IMPORTRANGE(""https://docs.google.com/spreadsheets/d/11923uPwbBZFjjGgGUA6NLw09EwE0CqkOc4q9oUmW1yo/edit?usp=sharing"",""ลำปาง!L493"")"),0)</f>
        <v>0</v>
      </c>
      <c r="M598" s="164"/>
      <c r="N598" s="168">
        <f ca="1">IFERROR(__xludf.DUMMYFUNCTION("IMPORTRANGE(""https://docs.google.com/spreadsheets/d/11923uPwbBZFjjGgGUA6NLw09EwE0CqkOc4q9oUmW1yo/edit?usp=sharing"",""ลำปาง!M493"")"),0)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IFERROR(__xludf.DUMMYFUNCTION("IMPORTRANGE(""https://docs.google.com/spreadsheets/d/11923uPwbBZFjjGgGUA6NLw09EwE0CqkOc4q9oUmW1yo/edit?usp=sharing"",""ลำปาง!L494"")"),8900)</f>
        <v>8900</v>
      </c>
      <c r="M599" s="165"/>
      <c r="N599" s="168">
        <f ca="1">IFERROR(__xludf.DUMMYFUNCTION("IMPORTRANGE(""https://docs.google.com/spreadsheets/d/11923uPwbBZFjjGgGUA6NLw09EwE0CqkOc4q9oUmW1yo/edit?usp=sharing"",""ลำปาง!M494"")"),3400)</f>
        <v>3400</v>
      </c>
      <c r="O599" s="168">
        <f t="shared" ca="1" si="126"/>
        <v>38.202247191011239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IFERROR(__xludf.DUMMYFUNCTION("IMPORTRANGE(""https://docs.google.com/spreadsheets/d/11923uPwbBZFjjGgGUA6NLw09EwE0CqkOc4q9oUmW1yo/edit?usp=sharing"",""ลำปาง!L495"")"),0)</f>
        <v>0</v>
      </c>
      <c r="M600" s="168"/>
      <c r="N600" s="168">
        <f ca="1">IFERROR(__xludf.DUMMYFUNCTION("IMPORTRANGE(""https://docs.google.com/spreadsheets/d/11923uPwbBZFjjGgGUA6NLw09EwE0CqkOc4q9oUmW1yo/edit?usp=sharing"",""ลำปาง!M495"")"),0)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IFERROR(__xludf.DUMMYFUNCTION("IMPORTRANGE(""https://docs.google.com/spreadsheets/d/11923uPwbBZFjjGgGUA6NLw09EwE0CqkOc4q9oUmW1yo/edit?usp=sharing"",""ลำปาง!L496"")"),8900)</f>
        <v>8900</v>
      </c>
      <c r="M601" s="168"/>
      <c r="N601" s="168">
        <f ca="1">IFERROR(__xludf.DUMMYFUNCTION("IMPORTRANGE(""https://docs.google.com/spreadsheets/d/11923uPwbBZFjjGgGUA6NLw09EwE0CqkOc4q9oUmW1yo/edit?usp=sharing"",""ลำปาง!M496"")"),3400)</f>
        <v>3400</v>
      </c>
      <c r="O601" s="168">
        <f t="shared" ca="1" si="126"/>
        <v>38.202247191011239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IFERROR(__xludf.DUMMYFUNCTION("IMPORTRANGE(""https://docs.google.com/spreadsheets/d/11923uPwbBZFjjGgGUA6NLw09EwE0CqkOc4q9oUmW1yo/edit?usp=sharing"",""ลำปาง!M497"")"),0)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IFERROR(__xludf.DUMMYFUNCTION("IMPORTRANGE(""https://docs.google.com/spreadsheets/d/11923uPwbBZFjjGgGUA6NLw09EwE0CqkOc4q9oUmW1yo/edit?usp=sharing"",""ลำปาง!M498"")"),0)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IFERROR(__xludf.DUMMYFUNCTION("IMPORTRANGE(""https://docs.google.com/spreadsheets/d/11923uPwbBZFjjGgGUA6NLw09EwE0CqkOc4q9oUmW1yo/edit?usp=sharing"",""ลำปาง!M499"")"),0)</f>
        <v>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IFERROR(__xludf.DUMMYFUNCTION("IMPORTRANGE(""https://docs.google.com/spreadsheets/d/11923uPwbBZFjjGgGUA6NLw09EwE0CqkOc4q9oUmW1yo/edit?usp=sharing"",""ลำปาง!M500"")"),3400)</f>
        <v>3400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IFERROR(__xludf.DUMMYFUNCTION("IMPORTRANGE(""https://docs.google.com/spreadsheets/d/11923uPwbBZFjjGgGUA6NLw09EwE0CqkOc4q9oUmW1yo/edit?usp=sharing"",""ลำปาง!J502"")"),0)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IFERROR(__xludf.DUMMYFUNCTION("IMPORTRANGE(""https://docs.google.com/spreadsheets/d/11923uPwbBZFjjGgGUA6NLw09EwE0CqkOc4q9oUmW1yo/edit?usp=sharing"",""ลำปาง!J503"")"),1)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IFERROR(__xludf.DUMMYFUNCTION("IMPORTRANGE(""https://docs.google.com/spreadsheets/d/11923uPwbBZFjjGgGUA6NLw09EwE0CqkOc4q9oUmW1yo/edit?usp=sharing"",""ลำปาง!J166"")"),0)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IFERROR(__xludf.DUMMYFUNCTION("IMPORTRANGE(""https://docs.google.com/spreadsheets/d/11923uPwbBZFjjGgGUA6NLw09EwE0CqkOc4q9oUmW1yo/edit?usp=sharing"",""ลำปาง!J166"")"),0)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IFERROR(__xludf.DUMMYFUNCTION("IMPORTRANGE(""https://docs.google.com/spreadsheets/d/11923uPwbBZFjjGgGUA6NLw09EwE0CqkOc4q9oUmW1yo/edit?usp=sharing"",""ลำปาง!I506"")"),100)</f>
        <v>100</v>
      </c>
      <c r="J611" s="162">
        <f ca="1">IFERROR(__xludf.DUMMYFUNCTION("IMPORTRANGE(""https://docs.google.com/spreadsheets/d/11923uPwbBZFjjGgGUA6NLw09EwE0CqkOc4q9oUmW1yo/edit?usp=sharing"",""ลำปาง!J506"")"),0)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IFERROR(__xludf.DUMMYFUNCTION("IMPORTRANGE(""https://docs.google.com/spreadsheets/d/11923uPwbBZFjjGgGUA6NLw09EwE0CqkOc4q9oUmW1yo/edit?usp=sharing"",""ลำปาง!I507"")"),0)</f>
        <v>0</v>
      </c>
      <c r="J612" s="197">
        <f ca="1">IFERROR(__xludf.DUMMYFUNCTION("IMPORTRANGE(""https://docs.google.com/spreadsheets/d/11923uPwbBZFjjGgGUA6NLw09EwE0CqkOc4q9oUmW1yo/edit?usp=sharing"",""ลำปาง!J507"")"),0)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IFERROR(__xludf.DUMMYFUNCTION("IMPORTRANGE(""https://docs.google.com/spreadsheets/d/11923uPwbBZFjjGgGUA6NLw09EwE0CqkOc4q9oUmW1yo/edit?usp=sharing"",""ลำปาง!I508"")"),0)</f>
        <v>0</v>
      </c>
      <c r="J613" s="197">
        <f ca="1">IFERROR(__xludf.DUMMYFUNCTION("IMPORTRANGE(""https://docs.google.com/spreadsheets/d/11923uPwbBZFjjGgGUA6NLw09EwE0CqkOc4q9oUmW1yo/edit?usp=sharing"",""ลำปาง!J508"")"),0)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IFERROR(__xludf.DUMMYFUNCTION("IMPORTRANGE(""https://docs.google.com/spreadsheets/d/11923uPwbBZFjjGgGUA6NLw09EwE0CqkOc4q9oUmW1yo/edit?usp=sharing"",""ลำปาง!I509"")"),0)</f>
        <v>0</v>
      </c>
      <c r="J614" s="197">
        <f ca="1">IFERROR(__xludf.DUMMYFUNCTION("IMPORTRANGE(""https://docs.google.com/spreadsheets/d/11923uPwbBZFjjGgGUA6NLw09EwE0CqkOc4q9oUmW1yo/edit?usp=sharing"",""ลำปาง!J509"")"),0)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IFERROR(__xludf.DUMMYFUNCTION("IMPORTRANGE(""https://docs.google.com/spreadsheets/d/11923uPwbBZFjjGgGUA6NLw09EwE0CqkOc4q9oUmW1yo/edit?usp=sharing"",""ลำปาง!I510"")"),0)</f>
        <v>0</v>
      </c>
      <c r="J615" s="197">
        <f ca="1">IFERROR(__xludf.DUMMYFUNCTION("IMPORTRANGE(""https://docs.google.com/spreadsheets/d/11923uPwbBZFjjGgGUA6NLw09EwE0CqkOc4q9oUmW1yo/edit?usp=sharing"",""ลำปาง!J510"")"),0)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IFERROR(__xludf.DUMMYFUNCTION("IMPORTRANGE(""https://docs.google.com/spreadsheets/d/11923uPwbBZFjjGgGUA6NLw09EwE0CqkOc4q9oUmW1yo/edit?usp=sharing"",""ลำปาง!I511"")"),0)</f>
        <v>0</v>
      </c>
      <c r="J616" s="197">
        <f ca="1">IFERROR(__xludf.DUMMYFUNCTION("IMPORTRANGE(""https://docs.google.com/spreadsheets/d/11923uPwbBZFjjGgGUA6NLw09EwE0CqkOc4q9oUmW1yo/edit?usp=sharing"",""ลำปาง!J511"")"),0)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IFERROR(__xludf.DUMMYFUNCTION("IMPORTRANGE(""https://docs.google.com/spreadsheets/d/11923uPwbBZFjjGgGUA6NLw09EwE0CqkOc4q9oUmW1yo/edit?usp=sharing"",""ลำปาง!I512"")"),0)</f>
        <v>0</v>
      </c>
      <c r="J617" s="187">
        <f ca="1">IFERROR(__xludf.DUMMYFUNCTION("IMPORTRANGE(""https://docs.google.com/spreadsheets/d/11923uPwbBZFjjGgGUA6NLw09EwE0CqkOc4q9oUmW1yo/edit?usp=sharing"",""ลำปาง!J512"")"),0)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IFERROR(__xludf.DUMMYFUNCTION("IMPORTRANGE(""https://docs.google.com/spreadsheets/d/11923uPwbBZFjjGgGUA6NLw09EwE0CqkOc4q9oUmW1yo/edit?usp=sharing"",""ลำปาง!I513"")"),0)</f>
        <v>0</v>
      </c>
      <c r="J618" s="188">
        <f ca="1">IFERROR(__xludf.DUMMYFUNCTION("IMPORTRANGE(""https://docs.google.com/spreadsheets/d/11923uPwbBZFjjGgGUA6NLw09EwE0CqkOc4q9oUmW1yo/edit?usp=sharing"",""ลำปาง!J513"")"),0)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IFERROR(__xludf.DUMMYFUNCTION("IMPORTRANGE(""https://docs.google.com/spreadsheets/d/11923uPwbBZFjjGgGUA6NLw09EwE0CqkOc4q9oUmW1yo/edit?usp=sharing"",""ลำปาง!I514"")"),0)</f>
        <v>0</v>
      </c>
      <c r="J619" s="188">
        <f ca="1">IFERROR(__xludf.DUMMYFUNCTION("IMPORTRANGE(""https://docs.google.com/spreadsheets/d/11923uPwbBZFjjGgGUA6NLw09EwE0CqkOc4q9oUmW1yo/edit?usp=sharing"",""ลำปาง!J514"")"),0)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IFERROR(__xludf.DUMMYFUNCTION("IMPORTRANGE(""https://docs.google.com/spreadsheets/d/11923uPwbBZFjjGgGUA6NLw09EwE0CqkOc4q9oUmW1yo/edit?usp=sharing"",""ลำปาง!I515"")"),0)</f>
        <v>0</v>
      </c>
      <c r="J620" s="202">
        <f ca="1">IFERROR(__xludf.DUMMYFUNCTION("IMPORTRANGE(""https://docs.google.com/spreadsheets/d/11923uPwbBZFjjGgGUA6NLw09EwE0CqkOc4q9oUmW1yo/edit?usp=sharing"",""ลำปาง!J515"")"),0)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IFERROR(__xludf.DUMMYFUNCTION("IMPORTRANGE(""https://docs.google.com/spreadsheets/d/11923uPwbBZFjjGgGUA6NLw09EwE0CqkOc4q9oUmW1yo/edit?usp=sharing"",""ลำปาง!I516"")"),0)</f>
        <v>0</v>
      </c>
      <c r="J621" s="202">
        <f ca="1">IFERROR(__xludf.DUMMYFUNCTION("IMPORTRANGE(""https://docs.google.com/spreadsheets/d/11923uPwbBZFjjGgGUA6NLw09EwE0CqkOc4q9oUmW1yo/edit?usp=sharing"",""ลำปาง!J516"")"),0)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IFERROR(__xludf.DUMMYFUNCTION("IMPORTRANGE(""https://docs.google.com/spreadsheets/d/11923uPwbBZFjjGgGUA6NLw09EwE0CqkOc4q9oUmW1yo/edit?usp=sharing"",""ลำปาง!I517"")"),0)</f>
        <v>0</v>
      </c>
      <c r="J622" s="188">
        <f ca="1">IFERROR(__xludf.DUMMYFUNCTION("IMPORTRANGE(""https://docs.google.com/spreadsheets/d/11923uPwbBZFjjGgGUA6NLw09EwE0CqkOc4q9oUmW1yo/edit?usp=sharing"",""ลำปาง!J517"")"),0)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IFERROR(__xludf.DUMMYFUNCTION("IMPORTRANGE(""https://docs.google.com/spreadsheets/d/11923uPwbBZFjjGgGUA6NLw09EwE0CqkOc4q9oUmW1yo/edit?usp=sharing"",""ลำปาง!I518"")"),0)</f>
        <v>0</v>
      </c>
      <c r="J623" s="188">
        <f ca="1">IFERROR(__xludf.DUMMYFUNCTION("IMPORTRANGE(""https://docs.google.com/spreadsheets/d/11923uPwbBZFjjGgGUA6NLw09EwE0CqkOc4q9oUmW1yo/edit?usp=sharing"",""ลำปาง!J518"")"),0)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IFERROR(__xludf.DUMMYFUNCTION("IMPORTRANGE(""https://docs.google.com/spreadsheets/d/11923uPwbBZFjjGgGUA6NLw09EwE0CqkOc4q9oUmW1yo/edit?usp=sharing"",""ลำปาง!I519"")"),0)</f>
        <v>0</v>
      </c>
      <c r="J624" s="187">
        <f ca="1">IFERROR(__xludf.DUMMYFUNCTION("IMPORTRANGE(""https://docs.google.com/spreadsheets/d/11923uPwbBZFjjGgGUA6NLw09EwE0CqkOc4q9oUmW1yo/edit?usp=sharing"",""ลำปาง!J519"")"),0)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IFERROR(__xludf.DUMMYFUNCTION("IMPORTRANGE(""https://docs.google.com/spreadsheets/d/11923uPwbBZFjjGgGUA6NLw09EwE0CqkOc4q9oUmW1yo/edit?usp=sharing"",""ลำปาง!I520"")"),0)</f>
        <v>0</v>
      </c>
      <c r="J625" s="188">
        <f ca="1">IFERROR(__xludf.DUMMYFUNCTION("IMPORTRANGE(""https://docs.google.com/spreadsheets/d/11923uPwbBZFjjGgGUA6NLw09EwE0CqkOc4q9oUmW1yo/edit?usp=sharing"",""ลำปาง!J520"")"),0)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IFERROR(__xludf.DUMMYFUNCTION("IMPORTRANGE(""https://docs.google.com/spreadsheets/d/11923uPwbBZFjjGgGUA6NLw09EwE0CqkOc4q9oUmW1yo/edit?usp=sharing"",""ลำปาง!I521"")"),0)</f>
        <v>0</v>
      </c>
      <c r="J626" s="188">
        <f ca="1">IFERROR(__xludf.DUMMYFUNCTION("IMPORTRANGE(""https://docs.google.com/spreadsheets/d/11923uPwbBZFjjGgGUA6NLw09EwE0CqkOc4q9oUmW1yo/edit?usp=sharing"",""ลำปาง!J521"")"),0)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39">
        <f ca="1">IFERROR(__xludf.DUMMYFUNCTION("IMPORTRANGE(""https://docs.google.com/spreadsheets/d/11923uPwbBZFjjGgGUA6NLw09EwE0CqkOc4q9oUmW1yo/edit?usp=sharing"",""ลำปาง!J523"")"),3732562.36)</f>
        <v>3732562.36</v>
      </c>
      <c r="K628" s="340">
        <f t="shared" ref="K628:K635" ca="1" si="129">IF(I628&gt;0,J628*100/I628,0)</f>
        <v>46.421565797991548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IFERROR(__xludf.DUMMYFUNCTION("IMPORTRANGE(""https://docs.google.com/spreadsheets/d/11923uPwbBZFjjGgGUA6NLw09EwE0CqkOc4q9oUmW1yo/edit?usp=sharing"",""ลำปาง!I524"")"),318)</f>
        <v>318</v>
      </c>
      <c r="J629" s="339">
        <f ca="1">IFERROR(__xludf.DUMMYFUNCTION("IMPORTRANGE(""https://docs.google.com/spreadsheets/d/11923uPwbBZFjjGgGUA6NLw09EwE0CqkOc4q9oUmW1yo/edit?usp=sharing"",""ลำปาง!J524"")"),140)</f>
        <v>140</v>
      </c>
      <c r="K629" s="340">
        <f t="shared" ca="1" si="129"/>
        <v>44.025157232704402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IFERROR(__xludf.DUMMYFUNCTION("IMPORTRANGE(""https://docs.google.com/spreadsheets/d/11923uPwbBZFjjGgGUA6NLw09EwE0CqkOc4q9oUmW1yo/edit?usp=sharing"",""ลำปาง!I525"")"),17310.57)</f>
        <v>17310.57</v>
      </c>
      <c r="J630" s="339">
        <f ca="1">IFERROR(__xludf.DUMMYFUNCTION("IMPORTRANGE(""https://docs.google.com/spreadsheets/d/11923uPwbBZFjjGgGUA6NLw09EwE0CqkOc4q9oUmW1yo/edit?usp=sharing"",""ลำปาง!J525"")"),1751.33)</f>
        <v>1751.33</v>
      </c>
      <c r="K630" s="340">
        <f t="shared" ca="1" si="129"/>
        <v>10.117113416831451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IFERROR(__xludf.DUMMYFUNCTION("IMPORTRANGE(""https://docs.google.com/spreadsheets/d/11923uPwbBZFjjGgGUA6NLw09EwE0CqkOc4q9oUmW1yo/edit?usp=sharing"",""ลำปาง!I526"")"),1)</f>
        <v>1</v>
      </c>
      <c r="J631" s="339">
        <f ca="1">IFERROR(__xludf.DUMMYFUNCTION("IMPORTRANGE(""https://docs.google.com/spreadsheets/d/11923uPwbBZFjjGgGUA6NLw09EwE0CqkOc4q9oUmW1yo/edit?usp=sharing"",""ลำปาง!J526"")"),1)</f>
        <v>1</v>
      </c>
      <c r="K631" s="340">
        <f t="shared" ca="1" si="129"/>
        <v>100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IFERROR(__xludf.DUMMYFUNCTION("IMPORTRANGE(""https://docs.google.com/spreadsheets/d/11923uPwbBZFjjGgGUA6NLw09EwE0CqkOc4q9oUmW1yo/edit?usp=sharing"",""ลำปาง!I527"")"),0)</f>
        <v>0</v>
      </c>
      <c r="J632" s="339">
        <f ca="1">IFERROR(__xludf.DUMMYFUNCTION("IMPORTRANGE(""https://docs.google.com/spreadsheets/d/11923uPwbBZFjjGgGUA6NLw09EwE0CqkOc4q9oUmW1yo/edit?usp=sharing"",""ลำปาง!J527"")"),0)</f>
        <v>0</v>
      </c>
      <c r="K632" s="340">
        <f t="shared" ca="1" si="129"/>
        <v>0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IFERROR(__xludf.DUMMYFUNCTION("IMPORTRANGE(""https://docs.google.com/spreadsheets/d/11923uPwbBZFjjGgGUA6NLw09EwE0CqkOc4q9oUmW1yo/edit?usp=sharing"",""ลำปาง!I528"")"),0)</f>
        <v>0</v>
      </c>
      <c r="J633" s="339">
        <f ca="1">IFERROR(__xludf.DUMMYFUNCTION("IMPORTRANGE(""https://docs.google.com/spreadsheets/d/11923uPwbBZFjjGgGUA6NLw09EwE0CqkOc4q9oUmW1yo/edit?usp=sharing"",""ลำปาง!J528"")"),0)</f>
        <v>0</v>
      </c>
      <c r="K633" s="340">
        <f t="shared" ca="1" si="129"/>
        <v>0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IFERROR(__xludf.DUMMYFUNCTION("IMPORTRANGE(""https://docs.google.com/spreadsheets/d/11923uPwbBZFjjGgGUA6NLw09EwE0CqkOc4q9oUmW1yo/edit?usp=sharing"",""ลำปาง!I529"")"),6665000)</f>
        <v>6665000</v>
      </c>
      <c r="J634" s="339">
        <f ca="1">IFERROR(__xludf.DUMMYFUNCTION("IMPORTRANGE(""https://docs.google.com/spreadsheets/d/11923uPwbBZFjjGgGUA6NLw09EwE0CqkOc4q9oUmW1yo/edit?usp=sharing"",""ลำปาง!J529"")"),1785000)</f>
        <v>1785000</v>
      </c>
      <c r="K634" s="340">
        <f t="shared" ca="1" si="129"/>
        <v>26.781695423855965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IFERROR(__xludf.DUMMYFUNCTION("IMPORTRANGE(""https://docs.google.com/spreadsheets/d/11923uPwbBZFjjGgGUA6NLw09EwE0CqkOc4q9oUmW1yo/edit?usp=sharing"",""ลำปาง!I530"")"),173)</f>
        <v>173</v>
      </c>
      <c r="J635" s="502">
        <f ca="1">IFERROR(__xludf.DUMMYFUNCTION("IMPORTRANGE(""https://docs.google.com/spreadsheets/d/11923uPwbBZFjjGgGUA6NLw09EwE0CqkOc4q9oUmW1yo/edit?usp=sharing"",""ลำปาง!J530"")"),59)</f>
        <v>59</v>
      </c>
      <c r="K635" s="484">
        <f t="shared" ca="1" si="129"/>
        <v>34.104046242774565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A3" sqref="A3:P3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10" width="13.90625" bestFit="1" customWidth="1"/>
    <col min="11" max="11" width="11" bestFit="1" customWidth="1"/>
    <col min="12" max="13" width="20.08984375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264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6602655</v>
      </c>
      <c r="M8" s="23">
        <f t="shared" ca="1" si="0"/>
        <v>2458025</v>
      </c>
      <c r="N8" s="23">
        <f t="shared" ca="1" si="0"/>
        <v>2792819</v>
      </c>
      <c r="O8" s="22">
        <f t="shared" ref="O8:O16" ca="1" si="1">IF(L8&gt;0,N8*100/L8,0)</f>
        <v>42.298423891601182</v>
      </c>
      <c r="P8" s="22">
        <f t="shared" ref="P8:P16" ca="1" si="2">IF(M8&gt;0,N8*100/M8,0)</f>
        <v>113.62044731034062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6602655</v>
      </c>
      <c r="M10" s="30">
        <f t="shared" ca="1" si="4"/>
        <v>2458025</v>
      </c>
      <c r="N10" s="30">
        <f t="shared" ca="1" si="4"/>
        <v>2792819</v>
      </c>
      <c r="O10" s="29">
        <f t="shared" ca="1" si="1"/>
        <v>42.298423891601182</v>
      </c>
      <c r="P10" s="29">
        <f t="shared" ca="1" si="2"/>
        <v>113.62044731034062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6353255</v>
      </c>
      <c r="M12" s="38">
        <f t="shared" ca="1" si="6"/>
        <v>2208625</v>
      </c>
      <c r="N12" s="38">
        <f t="shared" ca="1" si="6"/>
        <v>2543419</v>
      </c>
      <c r="O12" s="38">
        <f t="shared" ca="1" si="1"/>
        <v>40.033321502127649</v>
      </c>
      <c r="P12" s="38">
        <f t="shared" ca="1" si="2"/>
        <v>115.15848095534552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2233700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4119555</v>
      </c>
      <c r="M14" s="38">
        <f t="shared" si="8"/>
        <v>0</v>
      </c>
      <c r="N14" s="38">
        <f t="shared" ca="1" si="8"/>
        <v>636778</v>
      </c>
      <c r="O14" s="38">
        <f t="shared" ca="1" si="1"/>
        <v>15.457446253296776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249400</v>
      </c>
      <c r="M16" s="38">
        <f t="shared" ca="1" si="10"/>
        <v>249400</v>
      </c>
      <c r="N16" s="38">
        <f t="shared" ca="1" si="10"/>
        <v>249400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4195545</v>
      </c>
      <c r="M18" s="23">
        <f t="shared" ca="1" si="11"/>
        <v>2458025</v>
      </c>
      <c r="N18" s="23">
        <f t="shared" ca="1" si="11"/>
        <v>2156041</v>
      </c>
      <c r="O18" s="22">
        <f t="shared" ref="O18:O20" ca="1" si="12">IF(L18&gt;0,N18*100/L18,0)</f>
        <v>51.388818377588606</v>
      </c>
      <c r="P18" s="22">
        <f t="shared" ref="P18:P26" ca="1" si="13">IF(M18&gt;0,N18*100/M18,0)</f>
        <v>87.714364174489688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4195545</v>
      </c>
      <c r="M20" s="30">
        <f t="shared" ca="1" si="15"/>
        <v>2458025</v>
      </c>
      <c r="N20" s="30">
        <f t="shared" ca="1" si="15"/>
        <v>2156041</v>
      </c>
      <c r="O20" s="29">
        <f t="shared" ca="1" si="12"/>
        <v>51.388818377588606</v>
      </c>
      <c r="P20" s="29">
        <f t="shared" ca="1" si="13"/>
        <v>87.714364174489688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3946145</v>
      </c>
      <c r="M22" s="41">
        <f t="shared" ca="1" si="18"/>
        <v>2208625</v>
      </c>
      <c r="N22" s="38">
        <f t="shared" ca="1" si="18"/>
        <v>1906641</v>
      </c>
      <c r="O22" s="38">
        <f t="shared" ca="1" si="17"/>
        <v>48.31654690843849</v>
      </c>
      <c r="P22" s="38">
        <f t="shared" ca="1" si="13"/>
        <v>86.327058690361653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2233700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1712445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249400</v>
      </c>
      <c r="M26" s="49">
        <f t="shared" ca="1" si="22"/>
        <v>249400</v>
      </c>
      <c r="N26" s="49">
        <f t="shared" ca="1" si="22"/>
        <v>249400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2407110</v>
      </c>
      <c r="M28" s="23">
        <f t="shared" si="23"/>
        <v>0</v>
      </c>
      <c r="N28" s="23">
        <f t="shared" ca="1" si="23"/>
        <v>636778</v>
      </c>
      <c r="O28" s="22">
        <f t="shared" ref="O28:O30" ca="1" si="24">IF(L28&gt;0,N28*100/L28,0)</f>
        <v>26.45404655375118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2407110</v>
      </c>
      <c r="M30" s="30">
        <f t="shared" si="27"/>
        <v>0</v>
      </c>
      <c r="N30" s="30">
        <f t="shared" ca="1" si="27"/>
        <v>636778</v>
      </c>
      <c r="O30" s="29">
        <f t="shared" ca="1" si="24"/>
        <v>26.45404655375118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2407110</v>
      </c>
      <c r="M32" s="38">
        <f t="shared" si="30"/>
        <v>0</v>
      </c>
      <c r="N32" s="38">
        <f t="shared" ca="1" si="30"/>
        <v>636778</v>
      </c>
      <c r="O32" s="38">
        <f t="shared" ca="1" si="29"/>
        <v>26.45404655375118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2407110</v>
      </c>
      <c r="M34" s="38">
        <f t="shared" si="32"/>
        <v>0</v>
      </c>
      <c r="N34" s="38">
        <f t="shared" ca="1" si="32"/>
        <v>636778</v>
      </c>
      <c r="O34" s="38">
        <f t="shared" ca="1" si="29"/>
        <v>26.45404655375118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4195545</v>
      </c>
      <c r="M37" s="54">
        <f t="shared" ca="1" si="33"/>
        <v>2458025</v>
      </c>
      <c r="N37" s="54">
        <f t="shared" ca="1" si="33"/>
        <v>2156041</v>
      </c>
      <c r="O37" s="55">
        <f t="shared" ca="1" si="29"/>
        <v>51.388818377588606</v>
      </c>
      <c r="P37" s="55">
        <f t="shared" ca="1" si="25"/>
        <v>87.714364174489688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758700</v>
      </c>
      <c r="M41" s="78">
        <f t="shared" ca="1" si="34"/>
        <v>379300</v>
      </c>
      <c r="N41" s="78">
        <f t="shared" ca="1" si="34"/>
        <v>378109</v>
      </c>
      <c r="O41" s="77">
        <f t="shared" ref="O41:O43" ca="1" si="35">IF(L41&gt;0,N41*100/L41,0)</f>
        <v>49.83643073678661</v>
      </c>
      <c r="P41" s="77">
        <f t="shared" ref="P41:P43" ca="1" si="36">IF(M41&gt;0,N41*100/M41,0)</f>
        <v>99.686000527287106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758700</v>
      </c>
      <c r="M43" s="78">
        <f t="shared" ca="1" si="38"/>
        <v>379300</v>
      </c>
      <c r="N43" s="78">
        <f t="shared" ca="1" si="38"/>
        <v>378109</v>
      </c>
      <c r="O43" s="77">
        <f t="shared" ca="1" si="35"/>
        <v>49.83643073678661</v>
      </c>
      <c r="P43" s="77">
        <f t="shared" ca="1" si="36"/>
        <v>99.686000527287106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758700</v>
      </c>
      <c r="M45" s="49">
        <f ca="1">IFERROR(__xludf.DUMMYFUNCTION("IMPORTRANGE(""https://docs.google.com/spreadsheets/d/1Yj_ptqi66GCucihVvJfMjLAmec39IyEx_6qawtMGysU/edit?usp=sharing"",""สบก!Q33"")"),379300)</f>
        <v>379300</v>
      </c>
      <c r="N45" s="49">
        <f ca="1">IFERROR(__xludf.DUMMYFUNCTION("IMPORTRANGE(""https://docs.google.com/spreadsheets/d/1Yj_ptqi66GCucihVvJfMjLAmec39IyEx_6qawtMGysU/edit?usp=sharing"",""สบก!R33"")"),378109)</f>
        <v>378109</v>
      </c>
      <c r="O45" s="38">
        <f ca="1">IF(L45&gt;0,N45*100/L45,0)</f>
        <v>49.83643073678661</v>
      </c>
      <c r="P45" s="38">
        <f ca="1">IF(M45&gt;0,N45*100/M45,0)</f>
        <v>99.686000527287106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IFERROR(__xludf.DUMMYFUNCTION("IMPORTRANGE(""https://docs.google.com/spreadsheets/d/1Yj_ptqi66GCucihVvJfMjLAmec39IyEx_6qawtMGysU/edit?usp=sharing"",""สบก!M33"")"),758700)</f>
        <v>758700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IFERROR(__xludf.DUMMYFUNCTION("IMPORTRANGE(""https://docs.google.com/spreadsheets/d/1Yj_ptqi66GCucihVvJfMjLAmec39IyEx_6qawtMGysU/edit?usp=sharing"",""สบก!N33"")"),0)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IFERROR(__xludf.DUMMYFUNCTION("IMPORTRANGE(""https://docs.google.com/spreadsheets/d/1Yj_ptqi66GCucihVvJfMjLAmec39IyEx_6qawtMGysU/edit?usp=sharing"",""สบก!O33"")"),0)</f>
        <v>0</v>
      </c>
      <c r="M49" s="49"/>
      <c r="N49" s="49">
        <f ca="1">IFERROR(__xludf.DUMMYFUNCTION("IMPORTRANGE(""https://docs.google.com/spreadsheets/d/1Yj_ptqi66GCucihVvJfMjLAmec39IyEx_6qawtMGysU/edit?usp=sharing"",""สบก!S33"")"),0)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600000</v>
      </c>
      <c r="M53" s="120">
        <f t="shared" ca="1" si="39"/>
        <v>324800</v>
      </c>
      <c r="N53" s="120">
        <f t="shared" ca="1" si="39"/>
        <v>297731</v>
      </c>
      <c r="O53" s="119">
        <f t="shared" ref="O53:O55" ca="1" si="40">IF(L53&gt;0,N53*100/L53,0)</f>
        <v>49.621833333333335</v>
      </c>
      <c r="P53" s="119">
        <f t="shared" ref="P53:P55" ca="1" si="41">IF(M53&gt;0,N53*100/M53,0)</f>
        <v>91.665948275862064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600000</v>
      </c>
      <c r="M55" s="120">
        <f t="shared" ca="1" si="43"/>
        <v>324800</v>
      </c>
      <c r="N55" s="120">
        <f t="shared" ca="1" si="43"/>
        <v>297731</v>
      </c>
      <c r="O55" s="119">
        <f t="shared" ca="1" si="40"/>
        <v>49.621833333333335</v>
      </c>
      <c r="P55" s="119">
        <f t="shared" ca="1" si="41"/>
        <v>91.665948275862064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IFERROR(__xludf.DUMMYFUNCTION("IMPORTRANGE(""https://docs.google.com/spreadsheets/d/1Yj_ptqi66GCucihVvJfMjLAmec39IyEx_6qawtMGysU/edit?usp=sharing"",""สบก!Z33"")"),324800)</f>
        <v>324800</v>
      </c>
      <c r="N57" s="49">
        <f ca="1">IFERROR(__xludf.DUMMYFUNCTION("IMPORTRANGE(""https://docs.google.com/spreadsheets/d/1Yj_ptqi66GCucihVvJfMjLAmec39IyEx_6qawtMGysU/edit?usp=sharing"",""สบก!AA33"")"),297731)</f>
        <v>297731</v>
      </c>
      <c r="O57" s="38">
        <f ca="1">IF(L57&gt;0,N57*100/L57,0)</f>
        <v>49.621833333333335</v>
      </c>
      <c r="P57" s="38">
        <f ca="1">IF(M57&gt;0,N57*100/M57,0)</f>
        <v>91.665948275862064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IFERROR(__xludf.DUMMYFUNCTION("IMPORTRANGE(""https://docs.google.com/spreadsheets/d/1Yj_ptqi66GCucihVvJfMjLAmec39IyEx_6qawtMGysU/edit?usp=sharing"",""สบก!V33"")"),600000)</f>
        <v>600000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IFERROR(__xludf.DUMMYFUNCTION("IMPORTRANGE(""https://docs.google.com/spreadsheets/d/1Yj_ptqi66GCucihVvJfMjLAmec39IyEx_6qawtMGysU/edit?usp=sharing"",""สบก!W33"")"),0)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IFERROR(__xludf.DUMMYFUNCTION("IMPORTRANGE(""https://docs.google.com/spreadsheets/d/1Yj_ptqi66GCucihVvJfMjLAmec39IyEx_6qawtMGysU/edit?usp=sharing"",""สบก!X33"")"),0)</f>
        <v>0</v>
      </c>
      <c r="M61" s="49"/>
      <c r="N61" s="49">
        <f ca="1">IFERROR(__xludf.DUMMYFUNCTION("IMPORTRANGE(""https://docs.google.com/spreadsheets/d/1Yj_ptqi66GCucihVvJfMjLAmec39IyEx_6qawtMGysU/edit?usp=sharing"",""สบก!AB33"")"),0)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IFERROR(__xludf.DUMMYFUNCTION("IMPORTRANGE(""https://docs.google.com/spreadsheets/d/11923uPwbBZFjjGgGUA6NLw09EwE0CqkOc4q9oUmW1yo/edit?usp=sharing"",""ลำพูน!I9"")"),1)</f>
        <v>1</v>
      </c>
      <c r="J64" s="141">
        <f ca="1">IFERROR(__xludf.DUMMYFUNCTION("IMPORTRANGE(""https://docs.google.com/spreadsheets/d/11923uPwbBZFjjGgGUA6NLw09EwE0CqkOc4q9oUmW1yo/edit?usp=sharing"",""ลำพูน!J9"")"),1)</f>
        <v>1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IFERROR(__xludf.DUMMYFUNCTION("IMPORTRANGE(""https://docs.google.com/spreadsheets/d/11923uPwbBZFjjGgGUA6NLw09EwE0CqkOc4q9oUmW1yo/edit?usp=sharing"",""ลำพูน!I10"")"),35)</f>
        <v>35</v>
      </c>
      <c r="J65" s="141">
        <f ca="1">IFERROR(__xludf.DUMMYFUNCTION("IMPORTRANGE(""https://docs.google.com/spreadsheets/d/11923uPwbBZFjjGgGUA6NLw09EwE0CqkOc4q9oUmW1yo/edit?usp=sharing"",""ลำพูน!J10"")"),35)</f>
        <v>35</v>
      </c>
      <c r="K65" s="142">
        <f t="shared" ca="1" si="44"/>
        <v>100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591400</v>
      </c>
      <c r="M66" s="151">
        <f t="shared" ca="1" si="45"/>
        <v>332320</v>
      </c>
      <c r="N66" s="151">
        <f t="shared" ca="1" si="45"/>
        <v>315146</v>
      </c>
      <c r="O66" s="150">
        <f t="shared" ref="O66:O68" ca="1" si="46">IF(L66&gt;0,N66*100/L66,0)</f>
        <v>53.288129861345958</v>
      </c>
      <c r="P66" s="150">
        <f t="shared" ref="P66:P68" ca="1" si="47">IF(M66&gt;0,N66*100/M66,0)</f>
        <v>94.832089552238813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591400</v>
      </c>
      <c r="M68" s="87">
        <f t="shared" ca="1" si="49"/>
        <v>332320</v>
      </c>
      <c r="N68" s="87">
        <f t="shared" ca="1" si="49"/>
        <v>315146</v>
      </c>
      <c r="O68" s="155">
        <f t="shared" ca="1" si="46"/>
        <v>53.288129861345958</v>
      </c>
      <c r="P68" s="155">
        <f t="shared" ca="1" si="47"/>
        <v>94.832089552238813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591400</v>
      </c>
      <c r="M70" s="167">
        <f ca="1">IFERROR(__xludf.DUMMYFUNCTION("IMPORTRANGE(""https://docs.google.com/spreadsheets/d/1Yj_ptqi66GCucihVvJfMjLAmec39IyEx_6qawtMGysU/edit?usp=sharing"",""สบก!AI33"")"),332320)</f>
        <v>332320</v>
      </c>
      <c r="N70" s="168">
        <f ca="1">IFERROR(__xludf.DUMMYFUNCTION("IMPORTRANGE(""https://docs.google.com/spreadsheets/d/1Yj_ptqi66GCucihVvJfMjLAmec39IyEx_6qawtMGysU/edit?usp=sharing"",""สบก!AJ33"")"),315146)</f>
        <v>315146</v>
      </c>
      <c r="O70" s="168">
        <f ca="1">IF(L70&gt;0,N70*100/L70,0)</f>
        <v>53.288129861345958</v>
      </c>
      <c r="P70" s="168">
        <f ca="1">IF(M70&gt;0,N70*100/M70,0)</f>
        <v>94.832089552238813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IFERROR(__xludf.DUMMYFUNCTION("IMPORTRANGE(""https://docs.google.com/spreadsheets/d/1Yj_ptqi66GCucihVvJfMjLAmec39IyEx_6qawtMGysU/edit?usp=sharing"",""สบก!AE33"")"),193400)</f>
        <v>193400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IFERROR(__xludf.DUMMYFUNCTION("IMPORTRANGE(""https://docs.google.com/spreadsheets/d/1Yj_ptqi66GCucihVvJfMjLAmec39IyEx_6qawtMGysU/edit?usp=sharing"",""สบก!AF33"")"),398000)</f>
        <v>398000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IFERROR(__xludf.DUMMYFUNCTION("IMPORTRANGE(""https://docs.google.com/spreadsheets/d/1Yj_ptqi66GCucihVvJfMjLAmec39IyEx_6qawtMGysU/edit?usp=sharing"",""สบก!AG33"")"),0)</f>
        <v>0</v>
      </c>
      <c r="M74" s="49"/>
      <c r="N74" s="49">
        <f ca="1">IFERROR(__xludf.DUMMYFUNCTION("IMPORTRANGE(""https://docs.google.com/spreadsheets/d/1Yj_ptqi66GCucihVvJfMjLAmec39IyEx_6qawtMGysU/edit?usp=sharing"",""สบก!AK33"")"),0)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IFERROR(__xludf.DUMMYFUNCTION("IMPORTRANGE(""https://docs.google.com/spreadsheets/d/11923uPwbBZFjjGgGUA6NLw09EwE0CqkOc4q9oUmW1yo/edit?usp=sharing"",""ลำพูน!J16"")"),0)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IFERROR(__xludf.DUMMYFUNCTION("IMPORTRANGE(""https://docs.google.com/spreadsheets/d/11923uPwbBZFjjGgGUA6NLw09EwE0CqkOc4q9oUmW1yo/edit?usp=sharing"",""ลำพูน!J17"")"),1)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IFERROR(__xludf.DUMMYFUNCTION("IMPORTRANGE(""https://docs.google.com/spreadsheets/d/11923uPwbBZFjjGgGUA6NLw09EwE0CqkOc4q9oUmW1yo/edit?usp=sharing"",""ลำพูน!J18"")"),1)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IFERROR(__xludf.DUMMYFUNCTION("IMPORTRANGE(""https://docs.google.com/spreadsheets/d/11923uPwbBZFjjGgGUA6NLw09EwE0CqkOc4q9oUmW1yo/edit?usp=sharing"",""ลำพูน!J19"")"),1)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IFERROR(__xludf.DUMMYFUNCTION("IMPORTRANGE(""https://docs.google.com/spreadsheets/d/11923uPwbBZFjjGgGUA6NLw09EwE0CqkOc4q9oUmW1yo/edit?usp=sharing"",""ลำพูน!I20"")"),1)</f>
        <v>1</v>
      </c>
      <c r="J80" s="200">
        <f ca="1">IFERROR(__xludf.DUMMYFUNCTION("IMPORTRANGE(""https://docs.google.com/spreadsheets/d/11923uPwbBZFjjGgGUA6NLw09EwE0CqkOc4q9oUmW1yo/edit?usp=sharing"",""ลำพูน!J20"")"),1)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IFERROR(__xludf.DUMMYFUNCTION("IMPORTRANGE(""https://docs.google.com/spreadsheets/d/11923uPwbBZFjjGgGUA6NLw09EwE0CqkOc4q9oUmW1yo/edit?usp=sharing"",""ลำพูน!I21"")"),35)</f>
        <v>35</v>
      </c>
      <c r="J81" s="200">
        <f ca="1">IFERROR(__xludf.DUMMYFUNCTION("IMPORTRANGE(""https://docs.google.com/spreadsheets/d/11923uPwbBZFjjGgGUA6NLw09EwE0CqkOc4q9oUmW1yo/edit?usp=sharing"",""ลำพูน!J21"")"),35)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IFERROR(__xludf.DUMMYFUNCTION("IMPORTRANGE(""https://docs.google.com/spreadsheets/d/11923uPwbBZFjjGgGUA6NLw09EwE0CqkOc4q9oUmW1yo/edit?usp=sharing"",""ลำพูน!I22"")"),1)</f>
        <v>1</v>
      </c>
      <c r="J82" s="203">
        <f ca="1">IFERROR(__xludf.DUMMYFUNCTION("IMPORTRANGE(""https://docs.google.com/spreadsheets/d/11923uPwbBZFjjGgGUA6NLw09EwE0CqkOc4q9oUmW1yo/edit?usp=sharing"",""ลำพูน!J22"")"),1)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IFERROR(__xludf.DUMMYFUNCTION("IMPORTRANGE(""https://docs.google.com/spreadsheets/d/11923uPwbBZFjjGgGUA6NLw09EwE0CqkOc4q9oUmW1yo/edit?usp=sharing"",""ลำพูน!I23"")"),35)</f>
        <v>35</v>
      </c>
      <c r="J83" s="203">
        <f ca="1">IFERROR(__xludf.DUMMYFUNCTION("IMPORTRANGE(""https://docs.google.com/spreadsheets/d/11923uPwbBZFjjGgGUA6NLw09EwE0CqkOc4q9oUmW1yo/edit?usp=sharing"",""ลำพูน!J23"")"),35)</f>
        <v>35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IFERROR(__xludf.DUMMYFUNCTION("IMPORTRANGE(""https://docs.google.com/spreadsheets/d/11923uPwbBZFjjGgGUA6NLw09EwE0CqkOc4q9oUmW1yo/edit?usp=sharing"",""ลำพูน!I24"")"),0)</f>
        <v>0</v>
      </c>
      <c r="J84" s="188">
        <f ca="1">IFERROR(__xludf.DUMMYFUNCTION("IMPORTRANGE(""https://docs.google.com/spreadsheets/d/11923uPwbBZFjjGgGUA6NLw09EwE0CqkOc4q9oUmW1yo/edit?usp=sharing"",""ลำพูน!J24"")"),0)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IFERROR(__xludf.DUMMYFUNCTION("IMPORTRANGE(""https://docs.google.com/spreadsheets/d/11923uPwbBZFjjGgGUA6NLw09EwE0CqkOc4q9oUmW1yo/edit?usp=sharing"",""ลำพูน!I25"")"),0)</f>
        <v>0</v>
      </c>
      <c r="J85" s="188">
        <f ca="1">IFERROR(__xludf.DUMMYFUNCTION("IMPORTRANGE(""https://docs.google.com/spreadsheets/d/11923uPwbBZFjjGgGUA6NLw09EwE0CqkOc4q9oUmW1yo/edit?usp=sharing"",""ลำพูน!J25"")"),0)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IFERROR(__xludf.DUMMYFUNCTION("IMPORTRANGE(""https://docs.google.com/spreadsheets/d/11923uPwbBZFjjGgGUA6NLw09EwE0CqkOc4q9oUmW1yo/edit?usp=sharing"",""ลำพูน!I26"")"),0)</f>
        <v>0</v>
      </c>
      <c r="J86" s="203">
        <f ca="1">IFERROR(__xludf.DUMMYFUNCTION("IMPORTRANGE(""https://docs.google.com/spreadsheets/d/11923uPwbBZFjjGgGUA6NLw09EwE0CqkOc4q9oUmW1yo/edit?usp=sharing"",""ลำพูน!J26"")"),0)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IFERROR(__xludf.DUMMYFUNCTION("IMPORTRANGE(""https://docs.google.com/spreadsheets/d/11923uPwbBZFjjGgGUA6NLw09EwE0CqkOc4q9oUmW1yo/edit?usp=sharing"",""ลำพูน!I27"")"),0)</f>
        <v>0</v>
      </c>
      <c r="J87" s="203">
        <f ca="1">IFERROR(__xludf.DUMMYFUNCTION("IMPORTRANGE(""https://docs.google.com/spreadsheets/d/11923uPwbBZFjjGgGUA6NLw09EwE0CqkOc4q9oUmW1yo/edit?usp=sharing"",""ลำพูน!J27"")"),0)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IFERROR(__xludf.DUMMYFUNCTION("IMPORTRANGE(""https://docs.google.com/spreadsheets/d/11923uPwbBZFjjGgGUA6NLw09EwE0CqkOc4q9oUmW1yo/edit?usp=sharing"",""ลำพูน!I28"")"),35)</f>
        <v>35</v>
      </c>
      <c r="J88" s="203">
        <f ca="1">IFERROR(__xludf.DUMMYFUNCTION("IMPORTRANGE(""https://docs.google.com/spreadsheets/d/11923uPwbBZFjjGgGUA6NLw09EwE0CqkOc4q9oUmW1yo/edit?usp=sharing"",""ลำพูน!J28"")"),0)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IFERROR(__xludf.DUMMYFUNCTION("IMPORTRANGE(""https://docs.google.com/spreadsheets/d/11923uPwbBZFjjGgGUA6NLw09EwE0CqkOc4q9oUmW1yo/edit?usp=sharing"",""ลำพูน!J29"")"),0)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IFERROR(__xludf.DUMMYFUNCTION("IMPORTRANGE(""https://docs.google.com/spreadsheets/d/11923uPwbBZFjjGgGUA6NLw09EwE0CqkOc4q9oUmW1yo/edit?usp=sharing"",""ลำพูน!J30"")"),0)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IFERROR(__xludf.DUMMYFUNCTION("IMPORTRANGE(""https://docs.google.com/spreadsheets/d/11923uPwbBZFjjGgGUA6NLw09EwE0CqkOc4q9oUmW1yo/edit?usp=sharing"",""ลำพูน!I32"")"),0)</f>
        <v>0</v>
      </c>
      <c r="J92" s="141">
        <f ca="1">IFERROR(__xludf.DUMMYFUNCTION("IMPORTRANGE(""https://docs.google.com/spreadsheets/d/11923uPwbBZFjjGgGUA6NLw09EwE0CqkOc4q9oUmW1yo/edit?usp=sharing"",""ลำพูน!J32"")"),0)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IFERROR(__xludf.DUMMYFUNCTION("IMPORTRANGE(""https://docs.google.com/spreadsheets/d/11923uPwbBZFjjGgGUA6NLw09EwE0CqkOc4q9oUmW1yo/edit?usp=sharing"",""ลำพูน!I33"")"),0)</f>
        <v>0</v>
      </c>
      <c r="J93" s="141">
        <f ca="1">IFERROR(__xludf.DUMMYFUNCTION("IMPORTRANGE(""https://docs.google.com/spreadsheets/d/11923uPwbBZFjjGgGUA6NLw09EwE0CqkOc4q9oUmW1yo/edit?usp=sharing"",""ลำพูน!J33"")"),0)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0</v>
      </c>
      <c r="M94" s="151">
        <f t="shared" ca="1" si="52"/>
        <v>0</v>
      </c>
      <c r="N94" s="151">
        <f t="shared" ca="1" si="52"/>
        <v>0</v>
      </c>
      <c r="O94" s="150">
        <f t="shared" ref="O94:O96" ca="1" si="53">IF(L94&gt;0,N94*100/L94,0)</f>
        <v>0</v>
      </c>
      <c r="P94" s="150">
        <f t="shared" ref="P94:P96" ca="1" si="54">IF(M94&gt;0,N94*100/M94,0)</f>
        <v>0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0</v>
      </c>
      <c r="M96" s="87">
        <f t="shared" ca="1" si="56"/>
        <v>0</v>
      </c>
      <c r="N96" s="87">
        <f t="shared" ca="1" si="56"/>
        <v>0</v>
      </c>
      <c r="O96" s="155">
        <f t="shared" ca="1" si="53"/>
        <v>0</v>
      </c>
      <c r="P96" s="155">
        <f t="shared" ca="1" si="54"/>
        <v>0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IFERROR(__xludf.DUMMYFUNCTION("IMPORTRANGE(""https://docs.google.com/spreadsheets/d/1Yj_ptqi66GCucihVvJfMjLAmec39IyEx_6qawtMGysU/edit?usp=sharing"",""สบก!AR33"")"),0)</f>
        <v>0</v>
      </c>
      <c r="N98" s="168">
        <f ca="1">IFERROR(__xludf.DUMMYFUNCTION("IMPORTRANGE(""https://docs.google.com/spreadsheets/d/1Yj_ptqi66GCucihVvJfMjLAmec39IyEx_6qawtMGysU/edit?usp=sharing"",""สบก!AS33"")"),0)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IFERROR(__xludf.DUMMYFUNCTION("IMPORTRANGE(""https://docs.google.com/spreadsheets/d/1Yj_ptqi66GCucihVvJfMjLAmec39IyEx_6qawtMGysU/edit?usp=sharing"",""สบก!AN33"")"),0)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IFERROR(__xludf.DUMMYFUNCTION("IMPORTRANGE(""https://docs.google.com/spreadsheets/d/1Yj_ptqi66GCucihVvJfMjLAmec39IyEx_6qawtMGysU/edit?usp=sharing"",""สบก!AO33"")"),0)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IFERROR(__xludf.DUMMYFUNCTION("IMPORTRANGE(""https://docs.google.com/spreadsheets/d/1Yj_ptqi66GCucihVvJfMjLAmec39IyEx_6qawtMGysU/edit?usp=sharing"",""สบก!AP33"")"),0)</f>
        <v>0</v>
      </c>
      <c r="M102" s="49"/>
      <c r="N102" s="49">
        <f ca="1">IFERROR(__xludf.DUMMYFUNCTION("IMPORTRANGE(""https://docs.google.com/spreadsheets/d/1Yj_ptqi66GCucihVvJfMjLAmec39IyEx_6qawtMGysU/edit?usp=sharing"",""สบก!AT33"")"),0)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IFERROR(__xludf.DUMMYFUNCTION("IMPORTRANGE(""https://docs.google.com/spreadsheets/d/11923uPwbBZFjjGgGUA6NLw09EwE0CqkOc4q9oUmW1yo/edit?usp=sharing"",""ลำพูน!J39"")"),0)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IFERROR(__xludf.DUMMYFUNCTION("IMPORTRANGE(""https://docs.google.com/spreadsheets/d/11923uPwbBZFjjGgGUA6NLw09EwE0CqkOc4q9oUmW1yo/edit?usp=sharing"",""ลำพูน!J40"")"),0)</f>
        <v>0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IFERROR(__xludf.DUMMYFUNCTION("IMPORTRANGE(""https://docs.google.com/spreadsheets/d/11923uPwbBZFjjGgGUA6NLw09EwE0CqkOc4q9oUmW1yo/edit?usp=sharing"",""ลำพูน!J41"")"),0)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IFERROR(__xludf.DUMMYFUNCTION("IMPORTRANGE(""https://docs.google.com/spreadsheets/d/11923uPwbBZFjjGgGUA6NLw09EwE0CqkOc4q9oUmW1yo/edit?usp=sharing"",""ลำพูน!J42"")"),0)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IFERROR(__xludf.DUMMYFUNCTION("IMPORTRANGE(""https://docs.google.com/spreadsheets/d/11923uPwbBZFjjGgGUA6NLw09EwE0CqkOc4q9oUmW1yo/edit?usp=sharing"",""ลำพูน!I43"")"),0)</f>
        <v>0</v>
      </c>
      <c r="J108" s="203">
        <f ca="1">IFERROR(__xludf.DUMMYFUNCTION("IMPORTRANGE(""https://docs.google.com/spreadsheets/d/11923uPwbBZFjjGgGUA6NLw09EwE0CqkOc4q9oUmW1yo/edit?usp=sharing"",""ลำพูน!J43"")"),0)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IFERROR(__xludf.DUMMYFUNCTION("IMPORTRANGE(""https://docs.google.com/spreadsheets/d/11923uPwbBZFjjGgGUA6NLw09EwE0CqkOc4q9oUmW1yo/edit?usp=sharing"",""ลำพูน!I44"")"),0)</f>
        <v>0</v>
      </c>
      <c r="J109" s="203">
        <f ca="1">IFERROR(__xludf.DUMMYFUNCTION("IMPORTRANGE(""https://docs.google.com/spreadsheets/d/11923uPwbBZFjjGgGUA6NLw09EwE0CqkOc4q9oUmW1yo/edit?usp=sharing"",""ลำพูน!J44"")"),0)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IFERROR(__xludf.DUMMYFUNCTION("IMPORTRANGE(""https://docs.google.com/spreadsheets/d/11923uPwbBZFjjGgGUA6NLw09EwE0CqkOc4q9oUmW1yo/edit?usp=sharing"",""ลำพูน!I45"")"),0)</f>
        <v>0</v>
      </c>
      <c r="J110" s="203">
        <f ca="1">IFERROR(__xludf.DUMMYFUNCTION("IMPORTRANGE(""https://docs.google.com/spreadsheets/d/11923uPwbBZFjjGgGUA6NLw09EwE0CqkOc4q9oUmW1yo/edit?usp=sharing"",""ลำพูน!J45"")"),0)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IFERROR(__xludf.DUMMYFUNCTION("IMPORTRANGE(""https://docs.google.com/spreadsheets/d/11923uPwbBZFjjGgGUA6NLw09EwE0CqkOc4q9oUmW1yo/edit?usp=sharing"",""ลำพูน!I46"")"),0)</f>
        <v>0</v>
      </c>
      <c r="J111" s="203">
        <f ca="1">IFERROR(__xludf.DUMMYFUNCTION("IMPORTRANGE(""https://docs.google.com/spreadsheets/d/11923uPwbBZFjjGgGUA6NLw09EwE0CqkOc4q9oUmW1yo/edit?usp=sharing"",""ลำพูน!J46"")"),0)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IFERROR(__xludf.DUMMYFUNCTION("IMPORTRANGE(""https://docs.google.com/spreadsheets/d/11923uPwbBZFjjGgGUA6NLw09EwE0CqkOc4q9oUmW1yo/edit?usp=sharing"",""ลำพูน!I47"")"),0)</f>
        <v>0</v>
      </c>
      <c r="J112" s="203">
        <f ca="1">IFERROR(__xludf.DUMMYFUNCTION("IMPORTRANGE(""https://docs.google.com/spreadsheets/d/11923uPwbBZFjjGgGUA6NLw09EwE0CqkOc4q9oUmW1yo/edit?usp=sharing"",""ลำพูน!J47"")"),0)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IFERROR(__xludf.DUMMYFUNCTION("IMPORTRANGE(""https://docs.google.com/spreadsheets/d/11923uPwbBZFjjGgGUA6NLw09EwE0CqkOc4q9oUmW1yo/edit?usp=sharing"",""ลำพูน!I48"")"),0)</f>
        <v>0</v>
      </c>
      <c r="J113" s="203">
        <f ca="1">IFERROR(__xludf.DUMMYFUNCTION("IMPORTRANGE(""https://docs.google.com/spreadsheets/d/11923uPwbBZFjjGgGUA6NLw09EwE0CqkOc4q9oUmW1yo/edit?usp=sharing"",""ลำพูน!J48"")"),0)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IFERROR(__xludf.DUMMYFUNCTION("IMPORTRANGE(""https://docs.google.com/spreadsheets/d/11923uPwbBZFjjGgGUA6NLw09EwE0CqkOc4q9oUmW1yo/edit?usp=sharing"",""ลำพูน!J49"")"),0)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IFERROR(__xludf.DUMMYFUNCTION("IMPORTRANGE(""https://docs.google.com/spreadsheets/d/11923uPwbBZFjjGgGUA6NLw09EwE0CqkOc4q9oUmW1yo/edit?usp=sharing"",""ลำพูน!J50"")"),0)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IFERROR(__xludf.DUMMYFUNCTION("IMPORTRANGE(""https://docs.google.com/spreadsheets/d/11923uPwbBZFjjGgGUA6NLw09EwE0CqkOc4q9oUmW1yo/edit?usp=sharing"",""ลำพูน!I52"")"),20)</f>
        <v>20</v>
      </c>
      <c r="J117" s="141">
        <f ca="1">IFERROR(__xludf.DUMMYFUNCTION("IMPORTRANGE(""https://docs.google.com/spreadsheets/d/11923uPwbBZFjjGgGUA6NLw09EwE0CqkOc4q9oUmW1yo/edit?usp=sharing"",""ลำพูน!J52"")"),20)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54440</v>
      </c>
      <c r="O118" s="150">
        <f t="shared" ref="O118:O120" ca="1" si="59">IF(L118&gt;0,N118*100/L118,0)</f>
        <v>66.035904900533723</v>
      </c>
      <c r="P118" s="150">
        <f t="shared" ref="P118:P120" ca="1" si="60">IF(M118&gt;0,N118*100/M118,0)</f>
        <v>81.938591210114396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54440</v>
      </c>
      <c r="O120" s="155">
        <f t="shared" ca="1" si="59"/>
        <v>66.035904900533723</v>
      </c>
      <c r="P120" s="155">
        <f t="shared" ca="1" si="60"/>
        <v>81.938591210114396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IFERROR(__xludf.DUMMYFUNCTION("IMPORTRANGE(""https://docs.google.com/spreadsheets/d/1Yj_ptqi66GCucihVvJfMjLAmec39IyEx_6qawtMGysU/edit?usp=sharing"",""สบก!BA33"")"),66440)</f>
        <v>66440</v>
      </c>
      <c r="N122" s="168">
        <f ca="1">IFERROR(__xludf.DUMMYFUNCTION("IMPORTRANGE(""https://docs.google.com/spreadsheets/d/1Yj_ptqi66GCucihVvJfMjLAmec39IyEx_6qawtMGysU/edit?usp=sharing"",""สบก!BB33"")"),54440)</f>
        <v>54440</v>
      </c>
      <c r="O122" s="168">
        <f ca="1">IF(L122&gt;0,N122*100/L122,0)</f>
        <v>66.035904900533723</v>
      </c>
      <c r="P122" s="168">
        <f ca="1">IF(M122&gt;0,N122*100/M122,0)</f>
        <v>81.938591210114396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IFERROR(__xludf.DUMMYFUNCTION("IMPORTRANGE(""https://docs.google.com/spreadsheets/d/1Yj_ptqi66GCucihVvJfMjLAmec39IyEx_6qawtMGysU/edit?usp=sharing"",""สบก!AW33"")"),0)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IFERROR(__xludf.DUMMYFUNCTION("IMPORTRANGE(""https://docs.google.com/spreadsheets/d/1Yj_ptqi66GCucihVvJfMjLAmec39IyEx_6qawtMGysU/edit?usp=sharing"",""สบก!AX33"")"),82440)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IFERROR(__xludf.DUMMYFUNCTION("IMPORTRANGE(""https://docs.google.com/spreadsheets/d/1Yj_ptqi66GCucihVvJfMjLAmec39IyEx_6qawtMGysU/edit?usp=sharing"",""สบก!AY33"")"),0)</f>
        <v>0</v>
      </c>
      <c r="M126" s="49"/>
      <c r="N126" s="49">
        <f ca="1">IFERROR(__xludf.DUMMYFUNCTION("IMPORTRANGE(""https://docs.google.com/spreadsheets/d/1Yj_ptqi66GCucihVvJfMjLAmec39IyEx_6qawtMGysU/edit?usp=sharing"",""สบก!BC33"")"),0)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265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IFERROR(__xludf.DUMMYFUNCTION("IMPORTRANGE(""https://docs.google.com/spreadsheets/d/11923uPwbBZFjjGgGUA6NLw09EwE0CqkOc4q9oUmW1yo/edit?usp=sharing"",""ลำพูน!J58"")"),0)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IFERROR(__xludf.DUMMYFUNCTION("IMPORTRANGE(""https://docs.google.com/spreadsheets/d/11923uPwbBZFjjGgGUA6NLw09EwE0CqkOc4q9oUmW1yo/edit?usp=sharing"",""ลำพูน!J59"")"),0)</f>
        <v>0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IFERROR(__xludf.DUMMYFUNCTION("IMPORTRANGE(""https://docs.google.com/spreadsheets/d/11923uPwbBZFjjGgGUA6NLw09EwE0CqkOc4q9oUmW1yo/edit?usp=sharing"",""ลำพูน!J60"")"),1)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IFERROR(__xludf.DUMMYFUNCTION("IMPORTRANGE(""https://docs.google.com/spreadsheets/d/11923uPwbBZFjjGgGUA6NLw09EwE0CqkOc4q9oUmW1yo/edit?usp=sharing"",""ลำพูน!J61"")"),1)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IFERROR(__xludf.DUMMYFUNCTION("IMPORTRANGE(""https://docs.google.com/spreadsheets/d/11923uPwbBZFjjGgGUA6NLw09EwE0CqkOc4q9oUmW1yo/edit?usp=sharing"",""ลำพูน!I62"")"),20)</f>
        <v>20</v>
      </c>
      <c r="J132" s="203">
        <f ca="1">IFERROR(__xludf.DUMMYFUNCTION("IMPORTRANGE(""https://docs.google.com/spreadsheets/d/11923uPwbBZFjjGgGUA6NLw09EwE0CqkOc4q9oUmW1yo/edit?usp=sharing"",""ลำพูน!J62"")"),20)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IFERROR(__xludf.DUMMYFUNCTION("IMPORTRANGE(""https://docs.google.com/spreadsheets/d/11923uPwbBZFjjGgGUA6NLw09EwE0CqkOc4q9oUmW1yo/edit?usp=sharing"",""ลำพูน!I63"")"),20)</f>
        <v>20</v>
      </c>
      <c r="J133" s="203">
        <f ca="1">IFERROR(__xludf.DUMMYFUNCTION("IMPORTRANGE(""https://docs.google.com/spreadsheets/d/11923uPwbBZFjjGgGUA6NLw09EwE0CqkOc4q9oUmW1yo/edit?usp=sharing"",""ลำพูน!J63"")"),20)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IFERROR(__xludf.DUMMYFUNCTION("IMPORTRANGE(""https://docs.google.com/spreadsheets/d/11923uPwbBZFjjGgGUA6NLw09EwE0CqkOc4q9oUmW1yo/edit?usp=sharing"",""ลำพูน!J64"")"),0)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IFERROR(__xludf.DUMMYFUNCTION("IMPORTRANGE(""https://docs.google.com/spreadsheets/d/11923uPwbBZFjjGgGUA6NLw09EwE0CqkOc4q9oUmW1yo/edit?usp=sharing"",""ลำพูน!J65"")"),0)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IFERROR(__xludf.DUMMYFUNCTION("IMPORTRANGE(""https://docs.google.com/spreadsheets/d/11923uPwbBZFjjGgGUA6NLw09EwE0CqkOc4q9oUmW1yo/edit?usp=sharing"",""ลำพูน!I68"")"),150)</f>
        <v>150</v>
      </c>
      <c r="J138" s="266">
        <f ca="1">IFERROR(__xludf.DUMMYFUNCTION("IMPORTRANGE(""https://docs.google.com/spreadsheets/d/11923uPwbBZFjjGgGUA6NLw09EwE0CqkOc4q9oUmW1yo/edit?usp=sharing"",""ลำพูน!J68"")"),150)</f>
        <v>150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1352900</v>
      </c>
      <c r="M140" s="151">
        <f t="shared" ca="1" si="64"/>
        <v>914950</v>
      </c>
      <c r="N140" s="151">
        <f t="shared" ca="1" si="64"/>
        <v>774685</v>
      </c>
      <c r="O140" s="150">
        <f t="shared" ref="O140:O142" ca="1" si="65">IF(L140&gt;0,N140*100/L140,0)</f>
        <v>57.261068815137854</v>
      </c>
      <c r="P140" s="150">
        <f t="shared" ref="P140:P142" ca="1" si="66">IF(M140&gt;0,N140*100/M140,0)</f>
        <v>84.669654079457899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1352900</v>
      </c>
      <c r="M142" s="87">
        <f t="shared" ca="1" si="68"/>
        <v>914950</v>
      </c>
      <c r="N142" s="87">
        <f t="shared" ca="1" si="68"/>
        <v>774685</v>
      </c>
      <c r="O142" s="155">
        <f t="shared" ca="1" si="65"/>
        <v>57.261068815137854</v>
      </c>
      <c r="P142" s="155">
        <f t="shared" ca="1" si="66"/>
        <v>84.669654079457899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1114900</v>
      </c>
      <c r="M144" s="167">
        <f ca="1">IFERROR(__xludf.DUMMYFUNCTION("IMPORTRANGE(""https://docs.google.com/spreadsheets/d/1Yj_ptqi66GCucihVvJfMjLAmec39IyEx_6qawtMGysU/edit?usp=sharing"",""สบก!BJ33"")"),676950)</f>
        <v>676950</v>
      </c>
      <c r="N144" s="168">
        <f ca="1">IFERROR(__xludf.DUMMYFUNCTION("IMPORTRANGE(""https://docs.google.com/spreadsheets/d/1Yj_ptqi66GCucihVvJfMjLAmec39IyEx_6qawtMGysU/edit?usp=sharing"",""สบก!BK33"")"),536685)</f>
        <v>536685</v>
      </c>
      <c r="O144" s="168">
        <f ca="1">IF(L144&gt;0,N144*100/L144,0)</f>
        <v>48.13750112117679</v>
      </c>
      <c r="P144" s="168">
        <f ca="1">IF(M144&gt;0,N144*100/M144,0)</f>
        <v>79.279858187458458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IFERROR(__xludf.DUMMYFUNCTION("IMPORTRANGE(""https://docs.google.com/spreadsheets/d/1Yj_ptqi66GCucihVvJfMjLAmec39IyEx_6qawtMGysU/edit?usp=sharing"",""สบก!BF33"")"),264000)</f>
        <v>264000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IFERROR(__xludf.DUMMYFUNCTION("IMPORTRANGE(""https://docs.google.com/spreadsheets/d/1Yj_ptqi66GCucihVvJfMjLAmec39IyEx_6qawtMGysU/edit?usp=sharing"",""สบก!BG33"")"),850900)</f>
        <v>850900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IFERROR(__xludf.DUMMYFUNCTION("IMPORTRANGE(""https://docs.google.com/spreadsheets/d/1Yj_ptqi66GCucihVvJfMjLAmec39IyEx_6qawtMGysU/edit?usp=sharing"",""สบก!BH33"")"),238000)</f>
        <v>238000</v>
      </c>
      <c r="M148" s="49">
        <f ca="1">L148</f>
        <v>238000</v>
      </c>
      <c r="N148" s="49">
        <f ca="1">IFERROR(__xludf.DUMMYFUNCTION("IMPORTRANGE(""https://docs.google.com/spreadsheets/d/1Yj_ptqi66GCucihVvJfMjLAmec39IyEx_6qawtMGysU/edit?usp=sharing"",""สบก!BL33"")"),238000)</f>
        <v>238000</v>
      </c>
      <c r="O148" s="49">
        <f ca="1">IF(L148&gt;0,N148*100/L148,0)</f>
        <v>100</v>
      </c>
      <c r="P148" s="49">
        <f ca="1">IF(M148&gt;0,N148*100/M148,0)</f>
        <v>100</v>
      </c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IFERROR(__xludf.DUMMYFUNCTION("IMPORTRANGE(""https://docs.google.com/spreadsheets/d/11923uPwbBZFjjGgGUA6NLw09EwE0CqkOc4q9oUmW1yo/edit?usp=sharing"",""ลำพูน!I74"")"),4)</f>
        <v>4</v>
      </c>
      <c r="J149" s="274">
        <f ca="1">IFERROR(__xludf.DUMMYFUNCTION("IMPORTRANGE(""https://docs.google.com/spreadsheets/d/11923uPwbBZFjjGgGUA6NLw09EwE0CqkOc4q9oUmW1yo/edit?usp=sharing"",""ลำพูน!J74"")"),2)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IFERROR(__xludf.DUMMYFUNCTION("IMPORTRANGE(""https://docs.google.com/spreadsheets/d/11923uPwbBZFjjGgGUA6NLw09EwE0CqkOc4q9oUmW1yo/edit?usp=sharing"",""ลำพูน!J79"")"),0)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IFERROR(__xludf.DUMMYFUNCTION("IMPORTRANGE(""https://docs.google.com/spreadsheets/d/11923uPwbBZFjjGgGUA6NLw09EwE0CqkOc4q9oUmW1yo/edit?usp=sharing"",""ลำพูน!J80"")"),0)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IFERROR(__xludf.DUMMYFUNCTION("IMPORTRANGE(""https://docs.google.com/spreadsheets/d/11923uPwbBZFjjGgGUA6NLw09EwE0CqkOc4q9oUmW1yo/edit?usp=sharing"",""ลำพูน!J81"")"),1)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IFERROR(__xludf.DUMMYFUNCTION("IMPORTRANGE(""https://docs.google.com/spreadsheets/d/11923uPwbBZFjjGgGUA6NLw09EwE0CqkOc4q9oUmW1yo/edit?usp=sharing"",""ลำพูน!J82"")"),1)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IFERROR(__xludf.DUMMYFUNCTION("IMPORTRANGE(""https://docs.google.com/spreadsheets/d/11923uPwbBZFjjGgGUA6NLw09EwE0CqkOc4q9oUmW1yo/edit?usp=sharing"",""ลำพูน!I83"")"),4)</f>
        <v>4</v>
      </c>
      <c r="J158" s="188">
        <f ca="1">IFERROR(__xludf.DUMMYFUNCTION("IMPORTRANGE(""https://docs.google.com/spreadsheets/d/11923uPwbBZFjjGgGUA6NLw09EwE0CqkOc4q9oUmW1yo/edit?usp=sharing"",""ลำพูน!J83"")"),2)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IFERROR(__xludf.DUMMYFUNCTION("IMPORTRANGE(""https://docs.google.com/spreadsheets/d/11923uPwbBZFjjGgGUA6NLw09EwE0CqkOc4q9oUmW1yo/edit?usp=sharing"",""ลำพูน!J84"")"),119)</f>
        <v>119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IFERROR(__xludf.DUMMYFUNCTION("IMPORTRANGE(""https://docs.google.com/spreadsheets/d/11923uPwbBZFjjGgGUA6NLw09EwE0CqkOc4q9oUmW1yo/edit?usp=sharing"",""ลำพูน!J85"")"),119)</f>
        <v>119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IFERROR(__xludf.DUMMYFUNCTION("IMPORTRANGE(""https://docs.google.com/spreadsheets/d/11923uPwbBZFjjGgGUA6NLw09EwE0CqkOc4q9oUmW1yo/edit?usp=sharing"",""ลำพูน!J86"")"),0)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IFERROR(__xludf.DUMMYFUNCTION("IMPORTRANGE(""https://docs.google.com/spreadsheets/d/11923uPwbBZFjjGgGUA6NLw09EwE0CqkOc4q9oUmW1yo/edit?usp=sharing"",""ลำพูน!J87"")"),0)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IFERROR(__xludf.DUMMYFUNCTION("IMPORTRANGE(""https://docs.google.com/spreadsheets/d/11923uPwbBZFjjGgGUA6NLw09EwE0CqkOc4q9oUmW1yo/edit?usp=sharing"",""ลำพูน!J88"")"),0)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IFERROR(__xludf.DUMMYFUNCTION("IMPORTRANGE(""https://docs.google.com/spreadsheets/d/11923uPwbBZFjjGgGUA6NLw09EwE0CqkOc4q9oUmW1yo/edit?usp=sharing"",""ลำพูน!I89"")"),2)</f>
        <v>2</v>
      </c>
      <c r="J164" s="282">
        <f ca="1">IFERROR(__xludf.DUMMYFUNCTION("IMPORTRANGE(""https://docs.google.com/spreadsheets/d/11923uPwbBZFjjGgGUA6NLw09EwE0CqkOc4q9oUmW1yo/edit?usp=sharing"",""ลำพูน!J89"")"),2)</f>
        <v>2</v>
      </c>
      <c r="K164" s="283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IFERROR(__xludf.DUMMYFUNCTION("IMPORTRANGE(""https://docs.google.com/spreadsheets/d/11923uPwbBZFjjGgGUA6NLw09EwE0CqkOc4q9oUmW1yo/edit?usp=sharing"",""ลำพูน!J94"")"),0)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IFERROR(__xludf.DUMMYFUNCTION("IMPORTRANGE(""https://docs.google.com/spreadsheets/d/11923uPwbBZFjjGgGUA6NLw09EwE0CqkOc4q9oUmW1yo/edit?usp=sharing"",""ลำพูน!J95"")"),1)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IFERROR(__xludf.DUMMYFUNCTION("IMPORTRANGE(""https://docs.google.com/spreadsheets/d/11923uPwbBZFjjGgGUA6NLw09EwE0CqkOc4q9oUmW1yo/edit?usp=sharing"",""ลำพูน!J96"")"),1)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IFERROR(__xludf.DUMMYFUNCTION("IMPORTRANGE(""https://docs.google.com/spreadsheets/d/11923uPwbBZFjjGgGUA6NLw09EwE0CqkOc4q9oUmW1yo/edit?usp=sharing"",""ลำพูน!J97"")"),0)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IFERROR(__xludf.DUMMYFUNCTION("IMPORTRANGE(""https://docs.google.com/spreadsheets/d/11923uPwbBZFjjGgGUA6NLw09EwE0CqkOc4q9oUmW1yo/edit?usp=sharing"",""ลำพูน!I98"")"),2)</f>
        <v>2</v>
      </c>
      <c r="J173" s="188">
        <f ca="1">IFERROR(__xludf.DUMMYFUNCTION("IMPORTRANGE(""https://docs.google.com/spreadsheets/d/11923uPwbBZFjjGgGUA6NLw09EwE0CqkOc4q9oUmW1yo/edit?usp=sharing"",""ลำพูน!J98"")"),2)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IFERROR(__xludf.DUMMYFUNCTION("IMPORTRANGE(""https://docs.google.com/spreadsheets/d/11923uPwbBZFjjGgGUA6NLw09EwE0CqkOc4q9oUmW1yo/edit?usp=sharing"",""ลำพูน!J99"")"),0)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IFERROR(__xludf.DUMMYFUNCTION("IMPORTRANGE(""https://docs.google.com/spreadsheets/d/11923uPwbBZFjjGgGUA6NLw09EwE0CqkOc4q9oUmW1yo/edit?usp=sharing"",""ลำพูน!J100"")"),0)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IFERROR(__xludf.DUMMYFUNCTION("IMPORTRANGE(""https://docs.google.com/spreadsheets/d/11923uPwbBZFjjGgGUA6NLw09EwE0CqkOc4q9oUmW1yo/edit?usp=sharing"",""ลำพูน!I101"")"),0)</f>
        <v>0</v>
      </c>
      <c r="J176" s="282">
        <f ca="1">IFERROR(__xludf.DUMMYFUNCTION("IMPORTRANGE(""https://docs.google.com/spreadsheets/d/11923uPwbBZFjjGgGUA6NLw09EwE0CqkOc4q9oUmW1yo/edit?usp=sharing"",""ลำพูน!J101"")"),0)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IFERROR(__xludf.DUMMYFUNCTION("IMPORTRANGE(""https://docs.google.com/spreadsheets/d/11923uPwbBZFjjGgGUA6NLw09EwE0CqkOc4q9oUmW1yo/edit?usp=sharing"",""ลำพูน!J106"")"),0)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IFERROR(__xludf.DUMMYFUNCTION("IMPORTRANGE(""https://docs.google.com/spreadsheets/d/11923uPwbBZFjjGgGUA6NLw09EwE0CqkOc4q9oUmW1yo/edit?usp=sharing"",""ลำพูน!J107"")"),0)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IFERROR(__xludf.DUMMYFUNCTION("IMPORTRANGE(""https://docs.google.com/spreadsheets/d/11923uPwbBZFjjGgGUA6NLw09EwE0CqkOc4q9oUmW1yo/edit?usp=sharing"",""ลำพูน!J108"")"),0)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IFERROR(__xludf.DUMMYFUNCTION("IMPORTRANGE(""https://docs.google.com/spreadsheets/d/11923uPwbBZFjjGgGUA6NLw09EwE0CqkOc4q9oUmW1yo/edit?usp=sharing"",""ลำพูน!J109"")"),0)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IFERROR(__xludf.DUMMYFUNCTION("IMPORTRANGE(""https://docs.google.com/spreadsheets/d/11923uPwbBZFjjGgGUA6NLw09EwE0CqkOc4q9oUmW1yo/edit?usp=sharing"",""ลำพูน!I110"")"),0)</f>
        <v>0</v>
      </c>
      <c r="J185" s="203">
        <f ca="1">IFERROR(__xludf.DUMMYFUNCTION("IMPORTRANGE(""https://docs.google.com/spreadsheets/d/11923uPwbBZFjjGgGUA6NLw09EwE0CqkOc4q9oUmW1yo/edit?usp=sharing"",""ลำพูน!J110"")"),0)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IFERROR(__xludf.DUMMYFUNCTION("IMPORTRANGE(""https://docs.google.com/spreadsheets/d/11923uPwbBZFjjGgGUA6NLw09EwE0CqkOc4q9oUmW1yo/edit?usp=sharing"",""ลำพูน!I111"")"),0)</f>
        <v>0</v>
      </c>
      <c r="J186" s="203">
        <f ca="1">IFERROR(__xludf.DUMMYFUNCTION("IMPORTRANGE(""https://docs.google.com/spreadsheets/d/11923uPwbBZFjjGgGUA6NLw09EwE0CqkOc4q9oUmW1yo/edit?usp=sharing"",""ลำพูน!J111"")"),0)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IFERROR(__xludf.DUMMYFUNCTION("IMPORTRANGE(""https://docs.google.com/spreadsheets/d/11923uPwbBZFjjGgGUA6NLw09EwE0CqkOc4q9oUmW1yo/edit?usp=sharing"",""ลำพูน!J112"")"),0)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IFERROR(__xludf.DUMMYFUNCTION("IMPORTRANGE(""https://docs.google.com/spreadsheets/d/11923uPwbBZFjjGgGUA6NLw09EwE0CqkOc4q9oUmW1yo/edit?usp=sharing"",""ลำพูน!J113"")"),0)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IFERROR(__xludf.DUMMYFUNCTION("IMPORTRANGE(""https://docs.google.com/spreadsheets/d/11923uPwbBZFjjGgGUA6NLw09EwE0CqkOc4q9oUmW1yo/edit?usp=sharing"",""ลำพูน!I114"")"),100000)</f>
        <v>100000</v>
      </c>
      <c r="J189" s="282">
        <f ca="1">IFERROR(__xludf.DUMMYFUNCTION("IMPORTRANGE(""https://docs.google.com/spreadsheets/d/11923uPwbBZFjjGgGUA6NLw09EwE0CqkOc4q9oUmW1yo/edit?usp=sharing"",""ลำพูน!J114"")"),0)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IFERROR(__xludf.DUMMYFUNCTION("IMPORTRANGE(""https://docs.google.com/spreadsheets/d/11923uPwbBZFjjGgGUA6NLw09EwE0CqkOc4q9oUmW1yo/edit?usp=sharing"",""ลำพูน!J119"")"),1)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IFERROR(__xludf.DUMMYFUNCTION("IMPORTRANGE(""https://docs.google.com/spreadsheets/d/11923uPwbBZFjjGgGUA6NLw09EwE0CqkOc4q9oUmW1yo/edit?usp=sharing"",""ลำพูน!J120"")"),0)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IFERROR(__xludf.DUMMYFUNCTION("IMPORTRANGE(""https://docs.google.com/spreadsheets/d/11923uPwbBZFjjGgGUA6NLw09EwE0CqkOc4q9oUmW1yo/edit?usp=sharing"",""ลำพูน!J121"")"),0)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IFERROR(__xludf.DUMMYFUNCTION("IMPORTRANGE(""https://docs.google.com/spreadsheets/d/11923uPwbBZFjjGgGUA6NLw09EwE0CqkOc4q9oUmW1yo/edit?usp=sharing"",""ลำพูน!J122"")"),0)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IFERROR(__xludf.DUMMYFUNCTION("IMPORTRANGE(""https://docs.google.com/spreadsheets/d/11923uPwbBZFjjGgGUA6NLw09EwE0CqkOc4q9oUmW1yo/edit?usp=sharing"",""ลำพูน!I124"")"),100000)</f>
        <v>100000</v>
      </c>
      <c r="J199" s="188">
        <f ca="1">IFERROR(__xludf.DUMMYFUNCTION("IMPORTRANGE(""https://docs.google.com/spreadsheets/d/11923uPwbBZFjjGgGUA6NLw09EwE0CqkOc4q9oUmW1yo/edit?usp=sharing"",""ลำพูน!J124"")"),0)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IFERROR(__xludf.DUMMYFUNCTION("IMPORTRANGE(""https://docs.google.com/spreadsheets/d/11923uPwbBZFjjGgGUA6NLw09EwE0CqkOc4q9oUmW1yo/edit?usp=sharing"",""ลำพูน!I125"")"),100000)</f>
        <v>100000</v>
      </c>
      <c r="J200" s="188">
        <f ca="1">IFERROR(__xludf.DUMMYFUNCTION("IMPORTRANGE(""https://docs.google.com/spreadsheets/d/11923uPwbBZFjjGgGUA6NLw09EwE0CqkOc4q9oUmW1yo/edit?usp=sharing"",""ลำพูน!J125"")"),0)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IFERROR(__xludf.DUMMYFUNCTION("IMPORTRANGE(""https://docs.google.com/spreadsheets/d/11923uPwbBZFjjGgGUA6NLw09EwE0CqkOc4q9oUmW1yo/edit?usp=sharing"",""ลำพูน!I126"")"),0)</f>
        <v>0</v>
      </c>
      <c r="J201" s="188">
        <f ca="1">IFERROR(__xludf.DUMMYFUNCTION("IMPORTRANGE(""https://docs.google.com/spreadsheets/d/11923uPwbBZFjjGgGUA6NLw09EwE0CqkOc4q9oUmW1yo/edit?usp=sharing"",""ลำพูน!J126"")"),0)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IFERROR(__xludf.DUMMYFUNCTION("IMPORTRANGE(""https://docs.google.com/spreadsheets/d/11923uPwbBZFjjGgGUA6NLw09EwE0CqkOc4q9oUmW1yo/edit?usp=sharing"",""ลำพูน!J127"")"),0)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IFERROR(__xludf.DUMMYFUNCTION("IMPORTRANGE(""https://docs.google.com/spreadsheets/d/11923uPwbBZFjjGgGUA6NLw09EwE0CqkOc4q9oUmW1yo/edit?usp=sharing"",""ลำพูน!J128"")"),0)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IFERROR(__xludf.DUMMYFUNCTION("IMPORTRANGE(""https://docs.google.com/spreadsheets/d/11923uPwbBZFjjGgGUA6NLw09EwE0CqkOc4q9oUmW1yo/edit?usp=sharing"",""ลำพูน!I129"")"),150)</f>
        <v>150</v>
      </c>
      <c r="J204" s="282">
        <f ca="1">IFERROR(__xludf.DUMMYFUNCTION("IMPORTRANGE(""https://docs.google.com/spreadsheets/d/11923uPwbBZFjjGgGUA6NLw09EwE0CqkOc4q9oUmW1yo/edit?usp=sharing"",""ลำพูน!J129"")"),150)</f>
        <v>150</v>
      </c>
      <c r="K204" s="283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IFERROR(__xludf.DUMMYFUNCTION("IMPORTRANGE(""https://docs.google.com/spreadsheets/d/11923uPwbBZFjjGgGUA6NLw09EwE0CqkOc4q9oUmW1yo/edit?usp=sharing"",""ลำพูน!J134"")"),0)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IFERROR(__xludf.DUMMYFUNCTION("IMPORTRANGE(""https://docs.google.com/spreadsheets/d/11923uPwbBZFjjGgGUA6NLw09EwE0CqkOc4q9oUmW1yo/edit?usp=sharing"",""ลำพูน!J135"")"),1)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IFERROR(__xludf.DUMMYFUNCTION("IMPORTRANGE(""https://docs.google.com/spreadsheets/d/11923uPwbBZFjjGgGUA6NLw09EwE0CqkOc4q9oUmW1yo/edit?usp=sharing"",""ลำพูน!J136"")"),0)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IFERROR(__xludf.DUMMYFUNCTION("IMPORTRANGE(""https://docs.google.com/spreadsheets/d/11923uPwbBZFjjGgGUA6NLw09EwE0CqkOc4q9oUmW1yo/edit?usp=sharing"",""ลำพูน!J137"")"),1)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IFERROR(__xludf.DUMMYFUNCTION("IMPORTRANGE(""https://docs.google.com/spreadsheets/d/11923uPwbBZFjjGgGUA6NLw09EwE0CqkOc4q9oUmW1yo/edit?usp=sharing"",""ลำพูน!I138"")"),150)</f>
        <v>150</v>
      </c>
      <c r="J213" s="203">
        <f ca="1">IFERROR(__xludf.DUMMYFUNCTION("IMPORTRANGE(""https://docs.google.com/spreadsheets/d/11923uPwbBZFjjGgGUA6NLw09EwE0CqkOc4q9oUmW1yo/edit?usp=sharing"",""ลำพูน!J138"")"),150)</f>
        <v>150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IFERROR(__xludf.DUMMYFUNCTION("IMPORTRANGE(""https://docs.google.com/spreadsheets/d/11923uPwbBZFjjGgGUA6NLw09EwE0CqkOc4q9oUmW1yo/edit?usp=sharing"",""ลำพูน!I140"")"),0)</f>
        <v>0</v>
      </c>
      <c r="J215" s="203">
        <f ca="1">IFERROR(__xludf.DUMMYFUNCTION("IMPORTRANGE(""https://docs.google.com/spreadsheets/d/11923uPwbBZFjjGgGUA6NLw09EwE0CqkOc4q9oUmW1yo/edit?usp=sharing"",""ลำพูน!J140"")"),0)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IFERROR(__xludf.DUMMYFUNCTION("IMPORTRANGE(""https://docs.google.com/spreadsheets/d/11923uPwbBZFjjGgGUA6NLw09EwE0CqkOc4q9oUmW1yo/edit?usp=sharing"",""ลำพูน!I141"")"),3)</f>
        <v>3</v>
      </c>
      <c r="J216" s="203">
        <f ca="1">IFERROR(__xludf.DUMMYFUNCTION("IMPORTRANGE(""https://docs.google.com/spreadsheets/d/11923uPwbBZFjjGgGUA6NLw09EwE0CqkOc4q9oUmW1yo/edit?usp=sharing"",""ลำพูน!J141"")"),0)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IFERROR(__xludf.DUMMYFUNCTION("IMPORTRANGE(""https://docs.google.com/spreadsheets/d/11923uPwbBZFjjGgGUA6NLw09EwE0CqkOc4q9oUmW1yo/edit?usp=sharing"",""ลำพูน!J142"")"),0)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IFERROR(__xludf.DUMMYFUNCTION("IMPORTRANGE(""https://docs.google.com/spreadsheets/d/11923uPwbBZFjjGgGUA6NLw09EwE0CqkOc4q9oUmW1yo/edit?usp=sharing"",""ลำพูน!J143"")"),0)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IFERROR(__xludf.DUMMYFUNCTION("IMPORTRANGE(""https://docs.google.com/spreadsheets/d/11923uPwbBZFjjGgGUA6NLw09EwE0CqkOc4q9oUmW1yo/edit?usp=sharing"",""ลำพูน!I144"")"),15)</f>
        <v>15</v>
      </c>
      <c r="J219" s="266">
        <f ca="1">IFERROR(__xludf.DUMMYFUNCTION("IMPORTRANGE(""https://docs.google.com/spreadsheets/d/11923uPwbBZFjjGgGUA6NLw09EwE0CqkOc4q9oUmW1yo/edit?usp=sharing"",""ลำพูน!J144"")"),15)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21125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21125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IFERROR(__xludf.DUMMYFUNCTION("IMPORTRANGE(""https://docs.google.com/spreadsheets/d/1Yj_ptqi66GCucihVvJfMjLAmec39IyEx_6qawtMGysU/edit?usp=sharing"",""สบก!BS33"")"),21125)</f>
        <v>21125</v>
      </c>
      <c r="N224" s="168">
        <f ca="1">IFERROR(__xludf.DUMMYFUNCTION("IMPORTRANGE(""https://docs.google.com/spreadsheets/d/1Yj_ptqi66GCucihVvJfMjLAmec39IyEx_6qawtMGysU/edit?usp=sharing"",""สบก!BT33"")"),21125)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IFERROR(__xludf.DUMMYFUNCTION("IMPORTRANGE(""https://docs.google.com/spreadsheets/d/1Yj_ptqi66GCucihVvJfMjLAmec39IyEx_6qawtMGysU/edit?usp=sharing"",""สบก!BO33"")"),0)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IFERROR(__xludf.DUMMYFUNCTION("IMPORTRANGE(""https://docs.google.com/spreadsheets/d/1Yj_ptqi66GCucihVvJfMjLAmec39IyEx_6qawtMGysU/edit?usp=sharing"",""สบก!BP33"")"),21125)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IFERROR(__xludf.DUMMYFUNCTION("IMPORTRANGE(""https://docs.google.com/spreadsheets/d/1Yj_ptqi66GCucihVvJfMjLAmec39IyEx_6qawtMGysU/edit?usp=sharing"",""สบก!BQ33"")"),0)</f>
        <v>0</v>
      </c>
      <c r="M228" s="49"/>
      <c r="N228" s="49">
        <f ca="1">IFERROR(__xludf.DUMMYFUNCTION("IMPORTRANGE(""https://docs.google.com/spreadsheets/d/1Yj_ptqi66GCucihVvJfMjLAmec39IyEx_6qawtMGysU/edit?usp=sharing"",""สบก!BU33"")"),0)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IFERROR(__xludf.DUMMYFUNCTION("IMPORTRANGE(""https://docs.google.com/spreadsheets/d/11923uPwbBZFjjGgGUA6NLw09EwE0CqkOc4q9oUmW1yo/edit?usp=sharing"",""ลำพูน!I149"")"),15)</f>
        <v>15</v>
      </c>
      <c r="J229" s="266">
        <f ca="1">IFERROR(__xludf.DUMMYFUNCTION("IMPORTRANGE(""https://docs.google.com/spreadsheets/d/11923uPwbBZFjjGgGUA6NLw09EwE0CqkOc4q9oUmW1yo/edit?usp=sharing"",""ลำพูน!J149"")"),15)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IFERROR(__xludf.DUMMYFUNCTION("IMPORTRANGE(""https://docs.google.com/spreadsheets/d/11923uPwbBZFjjGgGUA6NLw09EwE0CqkOc4q9oUmW1yo/edit?usp=sharing"",""ลำพูน!J151"")"),0)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IFERROR(__xludf.DUMMYFUNCTION("IMPORTRANGE(""https://docs.google.com/spreadsheets/d/11923uPwbBZFjjGgGUA6NLw09EwE0CqkOc4q9oUmW1yo/edit?usp=sharing"",""ลำพูน!J152"")"),0)</f>
        <v>0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IFERROR(__xludf.DUMMYFUNCTION("IMPORTRANGE(""https://docs.google.com/spreadsheets/d/11923uPwbBZFjjGgGUA6NLw09EwE0CqkOc4q9oUmW1yo/edit?usp=sharing"",""ลำพูน!J153"")"),0)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IFERROR(__xludf.DUMMYFUNCTION("IMPORTRANGE(""https://docs.google.com/spreadsheets/d/11923uPwbBZFjjGgGUA6NLw09EwE0CqkOc4q9oUmW1yo/edit?usp=sharing"",""ลำพูน!J154"")"),0)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IFERROR(__xludf.DUMMYFUNCTION("IMPORTRANGE(""https://docs.google.com/spreadsheets/d/11923uPwbBZFjjGgGUA6NLw09EwE0CqkOc4q9oUmW1yo/edit?usp=sharing"",""ลำพูน!I155"")"),15)</f>
        <v>15</v>
      </c>
      <c r="J235" s="188">
        <f ca="1">IFERROR(__xludf.DUMMYFUNCTION("IMPORTRANGE(""https://docs.google.com/spreadsheets/d/11923uPwbBZFjjGgGUA6NLw09EwE0CqkOc4q9oUmW1yo/edit?usp=sharing"",""ลำพูน!J155"")"),15)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IFERROR(__xludf.DUMMYFUNCTION("IMPORTRANGE(""https://docs.google.com/spreadsheets/d/11923uPwbBZFjjGgGUA6NLw09EwE0CqkOc4q9oUmW1yo/edit?usp=sharing"",""ลำพูน!J156"")"),1)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IFERROR(__xludf.DUMMYFUNCTION("IMPORTRANGE(""https://docs.google.com/spreadsheets/d/11923uPwbBZFjjGgGUA6NLw09EwE0CqkOc4q9oUmW1yo/edit?usp=sharing"",""ลำพูน!J157"")"),1)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IFERROR(__xludf.DUMMYFUNCTION("IMPORTRANGE(""https://docs.google.com/spreadsheets/d/11923uPwbBZFjjGgGUA6NLw09EwE0CqkOc4q9oUmW1yo/edit?usp=sharing"",""ลำพูน!I158"")"),0)</f>
        <v>0</v>
      </c>
      <c r="J238" s="266">
        <f ca="1">IFERROR(__xludf.DUMMYFUNCTION("IMPORTRANGE(""https://docs.google.com/spreadsheets/d/11923uPwbBZFjjGgGUA6NLw09EwE0CqkOc4q9oUmW1yo/edit?usp=sharing"",""ลำพูน!J158"")"),0)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IFERROR(__xludf.DUMMYFUNCTION("IMPORTRANGE(""https://docs.google.com/spreadsheets/d/11923uPwbBZFjjGgGUA6NLw09EwE0CqkOc4q9oUmW1yo/edit?usp=sharing"",""ลำพูน!J159"")"),"")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IFERROR(__xludf.DUMMYFUNCTION("IMPORTRANGE(""https://docs.google.com/spreadsheets/d/11923uPwbBZFjjGgGUA6NLw09EwE0CqkOc4q9oUmW1yo/edit?usp=sharing"",""ลำพูน!J161"")"),0)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IFERROR(__xludf.DUMMYFUNCTION("IMPORTRANGE(""https://docs.google.com/spreadsheets/d/11923uPwbBZFjjGgGUA6NLw09EwE0CqkOc4q9oUmW1yo/edit?usp=sharing"",""ลำพูน!J162"")"),0)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IFERROR(__xludf.DUMMYFUNCTION("IMPORTRANGE(""https://docs.google.com/spreadsheets/d/11923uPwbBZFjjGgGUA6NLw09EwE0CqkOc4q9oUmW1yo/edit?usp=sharing"",""ลำพูน!J163"")"),0)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IFERROR(__xludf.DUMMYFUNCTION("IMPORTRANGE(""https://docs.google.com/spreadsheets/d/11923uPwbBZFjjGgGUA6NLw09EwE0CqkOc4q9oUmW1yo/edit?usp=sharing"",""ลำพูน!I164"")"),0)</f>
        <v>0</v>
      </c>
      <c r="J244" s="187">
        <f ca="1">IFERROR(__xludf.DUMMYFUNCTION("IMPORTRANGE(""https://docs.google.com/spreadsheets/d/11923uPwbBZFjjGgGUA6NLw09EwE0CqkOc4q9oUmW1yo/edit?usp=sharing"",""ลำพูน!J164"")"),0)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IFERROR(__xludf.DUMMYFUNCTION("IMPORTRANGE(""https://docs.google.com/spreadsheets/d/11923uPwbBZFjjGgGUA6NLw09EwE0CqkOc4q9oUmW1yo/edit?usp=sharing"",""ลำพูน!J165"")"),0)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IFERROR(__xludf.DUMMYFUNCTION("IMPORTRANGE(""https://docs.google.com/spreadsheets/d/11923uPwbBZFjjGgGUA6NLw09EwE0CqkOc4q9oUmW1yo/edit?usp=sharing"",""ลำพูน!J166"")"),0)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IFERROR(__xludf.DUMMYFUNCTION("IMPORTRANGE(""https://docs.google.com/spreadsheets/d/11923uPwbBZFjjGgGUA6NLw09EwE0CqkOc4q9oUmW1yo/edit?usp=sharing"",""ลำพูน!I169"")"),0)</f>
        <v>0</v>
      </c>
      <c r="J249" s="314">
        <f ca="1">IFERROR(__xludf.DUMMYFUNCTION("IMPORTRANGE(""https://docs.google.com/spreadsheets/d/11923uPwbBZFjjGgGUA6NLw09EwE0CqkOc4q9oUmW1yo/edit?usp=sharing"",""ลำพูน!J169"")"),0)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IFERROR(__xludf.DUMMYFUNCTION("IMPORTRANGE(""https://docs.google.com/spreadsheets/d/1Yj_ptqi66GCucihVvJfMjLAmec39IyEx_6qawtMGysU/edit?usp=sharing"",""สบก!CB33"")"),0)</f>
        <v>0</v>
      </c>
      <c r="N254" s="168">
        <f ca="1">IFERROR(__xludf.DUMMYFUNCTION("IMPORTRANGE(""https://docs.google.com/spreadsheets/d/1Yj_ptqi66GCucihVvJfMjLAmec39IyEx_6qawtMGysU/edit?usp=sharing"",""สบก!CC33"")"),0)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IFERROR(__xludf.DUMMYFUNCTION("IMPORTRANGE(""https://docs.google.com/spreadsheets/d/1Yj_ptqi66GCucihVvJfMjLAmec39IyEx_6qawtMGysU/edit?usp=sharing"",""สบก!BX33"")"),0)</f>
        <v>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IFERROR(__xludf.DUMMYFUNCTION("IMPORTRANGE(""https://docs.google.com/spreadsheets/d/1Yj_ptqi66GCucihVvJfMjLAmec39IyEx_6qawtMGysU/edit?usp=sharing"",""สบก!BY33"")"),0)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IFERROR(__xludf.DUMMYFUNCTION("IMPORTRANGE(""https://docs.google.com/spreadsheets/d/1Yj_ptqi66GCucihVvJfMjLAmec39IyEx_6qawtMGysU/edit?usp=sharing"",""สบก!BZ33"")"),0)</f>
        <v>0</v>
      </c>
      <c r="M258" s="49"/>
      <c r="N258" s="49">
        <f ca="1">IFERROR(__xludf.DUMMYFUNCTION("IMPORTRANGE(""https://docs.google.com/spreadsheets/d/1Yj_ptqi66GCucihVvJfMjLAmec39IyEx_6qawtMGysU/edit?usp=sharing"",""สบก!CD33"")"),0)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IFERROR(__xludf.DUMMYFUNCTION("IMPORTRANGE(""https://docs.google.com/spreadsheets/d/11923uPwbBZFjjGgGUA6NLw09EwE0CqkOc4q9oUmW1yo/edit?usp=sharing"",""ลำพูน!J175"")"),0)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IFERROR(__xludf.DUMMYFUNCTION("IMPORTRANGE(""https://docs.google.com/spreadsheets/d/11923uPwbBZFjjGgGUA6NLw09EwE0CqkOc4q9oUmW1yo/edit?usp=sharing"",""ลำพูน!J176"")"),0)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IFERROR(__xludf.DUMMYFUNCTION("IMPORTRANGE(""https://docs.google.com/spreadsheets/d/11923uPwbBZFjjGgGUA6NLw09EwE0CqkOc4q9oUmW1yo/edit?usp=sharing"",""ลำพูน!J177"")"),0)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IFERROR(__xludf.DUMMYFUNCTION("IMPORTRANGE(""https://docs.google.com/spreadsheets/d/11923uPwbBZFjjGgGUA6NLw09EwE0CqkOc4q9oUmW1yo/edit?usp=sharing"",""ลำพูน!J178"")"),0)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IFERROR(__xludf.DUMMYFUNCTION("IMPORTRANGE(""https://docs.google.com/spreadsheets/d/11923uPwbBZFjjGgGUA6NLw09EwE0CqkOc4q9oUmW1yo/edit?usp=sharing"",""ลำพูน!I179"")"),0)</f>
        <v>0</v>
      </c>
      <c r="J264" s="188">
        <f ca="1">IFERROR(__xludf.DUMMYFUNCTION("IMPORTRANGE(""https://docs.google.com/spreadsheets/d/11923uPwbBZFjjGgGUA6NLw09EwE0CqkOc4q9oUmW1yo/edit?usp=sharing"",""ลำพูน!J179"")"),0)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IFERROR(__xludf.DUMMYFUNCTION("IMPORTRANGE(""https://docs.google.com/spreadsheets/d/11923uPwbBZFjjGgGUA6NLw09EwE0CqkOc4q9oUmW1yo/edit?usp=sharing"",""ลำพูน!I180"")"),0)</f>
        <v>0</v>
      </c>
      <c r="J265" s="188">
        <f ca="1">IFERROR(__xludf.DUMMYFUNCTION("IMPORTRANGE(""https://docs.google.com/spreadsheets/d/11923uPwbBZFjjGgGUA6NLw09EwE0CqkOc4q9oUmW1yo/edit?usp=sharing"",""ลำพูน!J180"")"),0)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IFERROR(__xludf.DUMMYFUNCTION("IMPORTRANGE(""https://docs.google.com/spreadsheets/d/11923uPwbBZFjjGgGUA6NLw09EwE0CqkOc4q9oUmW1yo/edit?usp=sharing"",""ลำพูน!I181"")"),0)</f>
        <v>0</v>
      </c>
      <c r="J266" s="188">
        <f ca="1">IFERROR(__xludf.DUMMYFUNCTION("IMPORTRANGE(""https://docs.google.com/spreadsheets/d/11923uPwbBZFjjGgGUA6NLw09EwE0CqkOc4q9oUmW1yo/edit?usp=sharing"",""ลำพูน!J181"")"),0)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IFERROR(__xludf.DUMMYFUNCTION("IMPORTRANGE(""https://docs.google.com/spreadsheets/d/11923uPwbBZFjjGgGUA6NLw09EwE0CqkOc4q9oUmW1yo/edit?usp=sharing"",""ลำพูน!I182"")"),0)</f>
        <v>0</v>
      </c>
      <c r="J267" s="188">
        <f ca="1">IFERROR(__xludf.DUMMYFUNCTION("IMPORTRANGE(""https://docs.google.com/spreadsheets/d/11923uPwbBZFjjGgGUA6NLw09EwE0CqkOc4q9oUmW1yo/edit?usp=sharing"",""ลำพูน!J182"")"),0)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IFERROR(__xludf.DUMMYFUNCTION("IMPORTRANGE(""https://docs.google.com/spreadsheets/d/11923uPwbBZFjjGgGUA6NLw09EwE0CqkOc4q9oUmW1yo/edit?usp=sharing"",""ลำพูน!J183"")"),0)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IFERROR(__xludf.DUMMYFUNCTION("IMPORTRANGE(""https://docs.google.com/spreadsheets/d/11923uPwbBZFjjGgGUA6NLw09EwE0CqkOc4q9oUmW1yo/edit?usp=sharing"",""ลำพูน!J184"")"),0)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IFERROR(__xludf.DUMMYFUNCTION("IMPORTRANGE(""https://docs.google.com/spreadsheets/d/11923uPwbBZFjjGgGUA6NLw09EwE0CqkOc4q9oUmW1yo/edit?usp=sharing"",""ลำพูน!I185"")"),15)</f>
        <v>15</v>
      </c>
      <c r="J270" s="314">
        <f ca="1">IFERROR(__xludf.DUMMYFUNCTION("IMPORTRANGE(""https://docs.google.com/spreadsheets/d/11923uPwbBZFjjGgGUA6NLw09EwE0CqkOc4q9oUmW1yo/edit?usp=sharing"",""ลำพูน!J185"")"),15)</f>
        <v>15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55200</v>
      </c>
      <c r="M271" s="151">
        <f t="shared" ca="1" si="83"/>
        <v>32250</v>
      </c>
      <c r="N271" s="151">
        <f t="shared" ca="1" si="83"/>
        <v>6415</v>
      </c>
      <c r="O271" s="150">
        <f t="shared" ref="O271:O273" ca="1" si="84">IF(L271&gt;0,N271*100/L271,0)</f>
        <v>11.621376811594203</v>
      </c>
      <c r="P271" s="150">
        <f t="shared" ref="P271:P273" ca="1" si="85">IF(M271&gt;0,N271*100/M271,0)</f>
        <v>19.891472868217054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55200</v>
      </c>
      <c r="M273" s="87">
        <f t="shared" ca="1" si="87"/>
        <v>32250</v>
      </c>
      <c r="N273" s="87">
        <f t="shared" ca="1" si="87"/>
        <v>6415</v>
      </c>
      <c r="O273" s="155">
        <f t="shared" ca="1" si="84"/>
        <v>11.621376811594203</v>
      </c>
      <c r="P273" s="155">
        <f t="shared" ca="1" si="85"/>
        <v>19.891472868217054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IFERROR(__xludf.DUMMYFUNCTION("IMPORTRANGE(""https://docs.google.com/spreadsheets/d/1Yj_ptqi66GCucihVvJfMjLAmec39IyEx_6qawtMGysU/edit?usp=sharing"",""สบก!CK33"")"),32250)</f>
        <v>32250</v>
      </c>
      <c r="N275" s="168">
        <f ca="1">IFERROR(__xludf.DUMMYFUNCTION("IMPORTRANGE(""https://docs.google.com/spreadsheets/d/1Yj_ptqi66GCucihVvJfMjLAmec39IyEx_6qawtMGysU/edit?usp=sharing"",""สบก!CL33"")"),6415)</f>
        <v>6415</v>
      </c>
      <c r="O275" s="168">
        <f ca="1">IF(L275&gt;0,N275*100/L275,0)</f>
        <v>11.621376811594203</v>
      </c>
      <c r="P275" s="168">
        <f ca="1">IF(M275&gt;0,N275*100/M275,0)</f>
        <v>19.891472868217054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IFERROR(__xludf.DUMMYFUNCTION("IMPORTRANGE(""https://docs.google.com/spreadsheets/d/1Yj_ptqi66GCucihVvJfMjLAmec39IyEx_6qawtMGysU/edit?usp=sharing"",""สบก!CG33"")"),0)</f>
        <v>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IFERROR(__xludf.DUMMYFUNCTION("IMPORTRANGE(""https://docs.google.com/spreadsheets/d/1Yj_ptqi66GCucihVvJfMjLAmec39IyEx_6qawtMGysU/edit?usp=sharing"",""สบก!CH33"")"),55200)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IFERROR(__xludf.DUMMYFUNCTION("IMPORTRANGE(""https://docs.google.com/spreadsheets/d/1Yj_ptqi66GCucihVvJfMjLAmec39IyEx_6qawtMGysU/edit?usp=sharing"",""สบก!CI33"")"),0)</f>
        <v>0</v>
      </c>
      <c r="M279" s="49"/>
      <c r="N279" s="49">
        <f ca="1">IFERROR(__xludf.DUMMYFUNCTION("IMPORTRANGE(""https://docs.google.com/spreadsheets/d/1Yj_ptqi66GCucihVvJfMjLAmec39IyEx_6qawtMGysU/edit?usp=sharing"",""สบก!CM33"")"),0)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IFERROR(__xludf.DUMMYFUNCTION("IMPORTRANGE(""https://docs.google.com/spreadsheets/d/11923uPwbBZFjjGgGUA6NLw09EwE0CqkOc4q9oUmW1yo/edit?usp=sharing"",""ลำพูน!J191"")"),0)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IFERROR(__xludf.DUMMYFUNCTION("IMPORTRANGE(""https://docs.google.com/spreadsheets/d/11923uPwbBZFjjGgGUA6NLw09EwE0CqkOc4q9oUmW1yo/edit?usp=sharing"",""ลำพูน!J192"")"),1)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IFERROR(__xludf.DUMMYFUNCTION("IMPORTRANGE(""https://docs.google.com/spreadsheets/d/11923uPwbBZFjjGgGUA6NLw09EwE0CqkOc4q9oUmW1yo/edit?usp=sharing"",""ลำพูน!J193"")"),1)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IFERROR(__xludf.DUMMYFUNCTION("IMPORTRANGE(""https://docs.google.com/spreadsheets/d/11923uPwbBZFjjGgGUA6NLw09EwE0CqkOc4q9oUmW1yo/edit?usp=sharing"",""ลำพูน!J194"")"),1)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IFERROR(__xludf.DUMMYFUNCTION("IMPORTRANGE(""https://docs.google.com/spreadsheets/d/11923uPwbBZFjjGgGUA6NLw09EwE0CqkOc4q9oUmW1yo/edit?usp=sharing"",""ลำพูน!I195"")"),15)</f>
        <v>15</v>
      </c>
      <c r="J285" s="188">
        <f ca="1">IFERROR(__xludf.DUMMYFUNCTION("IMPORTRANGE(""https://docs.google.com/spreadsheets/d/11923uPwbBZFjjGgGUA6NLw09EwE0CqkOc4q9oUmW1yo/edit?usp=sharing"",""ลำพูน!J195"")"),15)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IFERROR(__xludf.DUMMYFUNCTION("IMPORTRANGE(""https://docs.google.com/spreadsheets/d/11923uPwbBZFjjGgGUA6NLw09EwE0CqkOc4q9oUmW1yo/edit?usp=sharing"",""ลำพูน!J196"")"),0)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IFERROR(__xludf.DUMMYFUNCTION("IMPORTRANGE(""https://docs.google.com/spreadsheets/d/11923uPwbBZFjjGgGUA6NLw09EwE0CqkOc4q9oUmW1yo/edit?usp=sharing"",""ลำพูน!J197"")"),0)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IFERROR(__xludf.DUMMYFUNCTION("IMPORTRANGE(""https://docs.google.com/spreadsheets/d/11923uPwbBZFjjGgGUA6NLw09EwE0CqkOc4q9oUmW1yo/edit?usp=sharing"",""ลำพูน!I199"")"),0)</f>
        <v>0</v>
      </c>
      <c r="J289" s="314">
        <f ca="1">IFERROR(__xludf.DUMMYFUNCTION("IMPORTRANGE(""https://docs.google.com/spreadsheets/d/11923uPwbBZFjjGgGUA6NLw09EwE0CqkOc4q9oUmW1yo/edit?usp=sharing"",""ลำพูน!J199"")"),0)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IFERROR(__xludf.DUMMYFUNCTION("IMPORTRANGE(""https://docs.google.com/spreadsheets/d/1Yj_ptqi66GCucihVvJfMjLAmec39IyEx_6qawtMGysU/edit?usp=sharing"",""สบก!CT33"")"),0)</f>
        <v>0</v>
      </c>
      <c r="N294" s="168">
        <f ca="1">IFERROR(__xludf.DUMMYFUNCTION("IMPORTRANGE(""https://docs.google.com/spreadsheets/d/1Yj_ptqi66GCucihVvJfMjLAmec39IyEx_6qawtMGysU/edit?usp=sharing"",""สบก!CU33"")"),0)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IFERROR(__xludf.DUMMYFUNCTION("IMPORTRANGE(""https://docs.google.com/spreadsheets/d/1Yj_ptqi66GCucihVvJfMjLAmec39IyEx_6qawtMGysU/edit?usp=sharing"",""สบก!CP33"")"),0)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IFERROR(__xludf.DUMMYFUNCTION("IMPORTRANGE(""https://docs.google.com/spreadsheets/d/1Yj_ptqi66GCucihVvJfMjLAmec39IyEx_6qawtMGysU/edit?usp=sharing"",""สบก!CQ33"")"),0)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IFERROR(__xludf.DUMMYFUNCTION("IMPORTRANGE(""https://docs.google.com/spreadsheets/d/1Yj_ptqi66GCucihVvJfMjLAmec39IyEx_6qawtMGysU/edit?usp=sharing"",""สบก!CR33"")"),0)</f>
        <v>0</v>
      </c>
      <c r="M298" s="49"/>
      <c r="N298" s="49">
        <f ca="1">IFERROR(__xludf.DUMMYFUNCTION("IMPORTRANGE(""https://docs.google.com/spreadsheets/d/1Yj_ptqi66GCucihVvJfMjLAmec39IyEx_6qawtMGysU/edit?usp=sharing"",""สบก!CV33"")"),0)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IFERROR(__xludf.DUMMYFUNCTION("IMPORTRANGE(""https://docs.google.com/spreadsheets/d/11923uPwbBZFjjGgGUA6NLw09EwE0CqkOc4q9oUmW1yo/edit?usp=sharing"",""ลำพูน!J205"")"),0)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IFERROR(__xludf.DUMMYFUNCTION("IMPORTRANGE(""https://docs.google.com/spreadsheets/d/11923uPwbBZFjjGgGUA6NLw09EwE0CqkOc4q9oUmW1yo/edit?usp=sharing"",""ลำพูน!J206"")"),0)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IFERROR(__xludf.DUMMYFUNCTION("IMPORTRANGE(""https://docs.google.com/spreadsheets/d/11923uPwbBZFjjGgGUA6NLw09EwE0CqkOc4q9oUmW1yo/edit?usp=sharing"",""ลำพูน!J207"")"),0)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IFERROR(__xludf.DUMMYFUNCTION("IMPORTRANGE(""https://docs.google.com/spreadsheets/d/11923uPwbBZFjjGgGUA6NLw09EwE0CqkOc4q9oUmW1yo/edit?usp=sharing"",""ลำพูน!J208"")"),0)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IFERROR(__xludf.DUMMYFUNCTION("IMPORTRANGE(""https://docs.google.com/spreadsheets/d/11923uPwbBZFjjGgGUA6NLw09EwE0CqkOc4q9oUmW1yo/edit?usp=sharing"",""ลำพูน!I209"")"),0)</f>
        <v>0</v>
      </c>
      <c r="J304" s="203">
        <f ca="1">IFERROR(__xludf.DUMMYFUNCTION("IMPORTRANGE(""https://docs.google.com/spreadsheets/d/11923uPwbBZFjjGgGUA6NLw09EwE0CqkOc4q9oUmW1yo/edit?usp=sharing"",""ลำพูน!J209"")"),0)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IFERROR(__xludf.DUMMYFUNCTION("IMPORTRANGE(""https://docs.google.com/spreadsheets/d/11923uPwbBZFjjGgGUA6NLw09EwE0CqkOc4q9oUmW1yo/edit?usp=sharing"",""ลำพูน!I211"")"),0)</f>
        <v>0</v>
      </c>
      <c r="J306" s="203">
        <f ca="1">IFERROR(__xludf.DUMMYFUNCTION("IMPORTRANGE(""https://docs.google.com/spreadsheets/d/11923uPwbBZFjjGgGUA6NLw09EwE0CqkOc4q9oUmW1yo/edit?usp=sharing"",""ลำพูน!J211"")"),0)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IFERROR(__xludf.DUMMYFUNCTION("IMPORTRANGE(""https://docs.google.com/spreadsheets/d/11923uPwbBZFjjGgGUA6NLw09EwE0CqkOc4q9oUmW1yo/edit?usp=sharing"",""ลำพูน!J212"")"),0)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IFERROR(__xludf.DUMMYFUNCTION("IMPORTRANGE(""https://docs.google.com/spreadsheets/d/11923uPwbBZFjjGgGUA6NLw09EwE0CqkOc4q9oUmW1yo/edit?usp=sharing"",""ลำพูน!J213"")"),0)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IFERROR(__xludf.DUMMYFUNCTION("IMPORTRANGE(""https://docs.google.com/spreadsheets/d/11923uPwbBZFjjGgGUA6NLw09EwE0CqkOc4q9oUmW1yo/edit?usp=sharing"",""ลำพูน!I214"")"),0)</f>
        <v>0</v>
      </c>
      <c r="J309" s="331">
        <f ca="1">IFERROR(__xludf.DUMMYFUNCTION("IMPORTRANGE(""https://docs.google.com/spreadsheets/d/11923uPwbBZFjjGgGUA6NLw09EwE0CqkOc4q9oUmW1yo/edit?usp=sharing"",""ลำพูน!J214"")"),0)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IFERROR(__xludf.DUMMYFUNCTION("IMPORTRANGE(""https://docs.google.com/spreadsheets/d/1Yj_ptqi66GCucihVvJfMjLAmec39IyEx_6qawtMGysU/edit?usp=sharing"",""สบก!DC33"")"),0)</f>
        <v>0</v>
      </c>
      <c r="N314" s="168">
        <f ca="1">IFERROR(__xludf.DUMMYFUNCTION("IMPORTRANGE(""https://docs.google.com/spreadsheets/d/1Yj_ptqi66GCucihVvJfMjLAmec39IyEx_6qawtMGysU/edit?usp=sharing"",""สบก!DD33"")"),0)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IFERROR(__xludf.DUMMYFUNCTION("IMPORTRANGE(""https://docs.google.com/spreadsheets/d/1Yj_ptqi66GCucihVvJfMjLAmec39IyEx_6qawtMGysU/edit?usp=sharing"",""สบก!CY33"")"),0)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IFERROR(__xludf.DUMMYFUNCTION("IMPORTRANGE(""https://docs.google.com/spreadsheets/d/1Yj_ptqi66GCucihVvJfMjLAmec39IyEx_6qawtMGysU/edit?usp=sharing"",""สบก!CZ33"")"),0)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IFERROR(__xludf.DUMMYFUNCTION("IMPORTRANGE(""https://docs.google.com/spreadsheets/d/1Yj_ptqi66GCucihVvJfMjLAmec39IyEx_6qawtMGysU/edit?usp=sharing"",""สบก!DA33"")"),0)</f>
        <v>0</v>
      </c>
      <c r="M318" s="49"/>
      <c r="N318" s="49">
        <f ca="1">IFERROR(__xludf.DUMMYFUNCTION("IMPORTRANGE(""https://docs.google.com/spreadsheets/d/1Yj_ptqi66GCucihVvJfMjLAmec39IyEx_6qawtMGysU/edit?usp=sharing"",""สบก!DE33"")"),0)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IFERROR(__xludf.DUMMYFUNCTION("IMPORTRANGE(""https://docs.google.com/spreadsheets/d/11923uPwbBZFjjGgGUA6NLw09EwE0CqkOc4q9oUmW1yo/edit?usp=sharing"",""ลำพูน!J220"")"),0)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IFERROR(__xludf.DUMMYFUNCTION("IMPORTRANGE(""https://docs.google.com/spreadsheets/d/11923uPwbBZFjjGgGUA6NLw09EwE0CqkOc4q9oUmW1yo/edit?usp=sharing"",""ลำพูน!J221"")"),0)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IFERROR(__xludf.DUMMYFUNCTION("IMPORTRANGE(""https://docs.google.com/spreadsheets/d/11923uPwbBZFjjGgGUA6NLw09EwE0CqkOc4q9oUmW1yo/edit?usp=sharing"",""ลำพูน!J222"")"),0)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IFERROR(__xludf.DUMMYFUNCTION("IMPORTRANGE(""https://docs.google.com/spreadsheets/d/11923uPwbBZFjjGgGUA6NLw09EwE0CqkOc4q9oUmW1yo/edit?usp=sharing"",""ลำพูน!J223"")"),0)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IFERROR(__xludf.DUMMYFUNCTION("IMPORTRANGE(""https://docs.google.com/spreadsheets/d/11923uPwbBZFjjGgGUA6NLw09EwE0CqkOc4q9oUmW1yo/edit?usp=sharing"",""ลำพูน!I224"")"),0)</f>
        <v>0</v>
      </c>
      <c r="J324" s="203">
        <f ca="1">IFERROR(__xludf.DUMMYFUNCTION("IMPORTRANGE(""https://docs.google.com/spreadsheets/d/11923uPwbBZFjjGgGUA6NLw09EwE0CqkOc4q9oUmW1yo/edit?usp=sharing"",""ลำพูน!J224"")"),0)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IFERROR(__xludf.DUMMYFUNCTION("IMPORTRANGE(""https://docs.google.com/spreadsheets/d/11923uPwbBZFjjGgGUA6NLw09EwE0CqkOc4q9oUmW1yo/edit?usp=sharing"",""ลำพูน!J225"")"),0)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IFERROR(__xludf.DUMMYFUNCTION("IMPORTRANGE(""https://docs.google.com/spreadsheets/d/11923uPwbBZFjjGgGUA6NLw09EwE0CqkOc4q9oUmW1yo/edit?usp=sharing"",""ลำพูน!J226"")"),0)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IFERROR(__xludf.DUMMYFUNCTION("IMPORTRANGE(""https://docs.google.com/spreadsheets/d/11923uPwbBZFjjGgGUA6NLw09EwE0CqkOc4q9oUmW1yo/edit?usp=sharing"",""ลำพูน!I228"")"),222)</f>
        <v>222</v>
      </c>
      <c r="J328" s="337">
        <f ca="1">IFERROR(__xludf.DUMMYFUNCTION("IMPORTRANGE(""https://docs.google.com/spreadsheets/d/11923uPwbBZFjjGgGUA6NLw09EwE0CqkOc4q9oUmW1yo/edit?usp=sharing"",""ลำพูน!J228"")"),26)</f>
        <v>26</v>
      </c>
      <c r="K328" s="315">
        <f ca="1">IF(I328&gt;0,J328*100/I328,0)</f>
        <v>11.711711711711711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733780</v>
      </c>
      <c r="M329" s="151">
        <f t="shared" ca="1" si="98"/>
        <v>386840</v>
      </c>
      <c r="N329" s="151">
        <f t="shared" ca="1" si="98"/>
        <v>308390</v>
      </c>
      <c r="O329" s="150">
        <f t="shared" ref="O329:O331" ca="1" si="99">IF(L329&gt;0,N329*100/L329,0)</f>
        <v>42.027583199324049</v>
      </c>
      <c r="P329" s="150">
        <f t="shared" ref="P329:P331" ca="1" si="100">IF(M329&gt;0,N329*100/M329,0)</f>
        <v>79.720297797539033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733780</v>
      </c>
      <c r="M331" s="87">
        <f t="shared" ca="1" si="102"/>
        <v>386840</v>
      </c>
      <c r="N331" s="87">
        <f t="shared" ca="1" si="102"/>
        <v>308390</v>
      </c>
      <c r="O331" s="155">
        <f t="shared" ca="1" si="99"/>
        <v>42.027583199324049</v>
      </c>
      <c r="P331" s="155">
        <f t="shared" ca="1" si="100"/>
        <v>79.720297797539033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722380</v>
      </c>
      <c r="M333" s="167">
        <f ca="1">IFERROR(__xludf.DUMMYFUNCTION("IMPORTRANGE(""https://docs.google.com/spreadsheets/d/1Yj_ptqi66GCucihVvJfMjLAmec39IyEx_6qawtMGysU/edit?usp=sharing"",""สบก!DL33"")"),375440)</f>
        <v>375440</v>
      </c>
      <c r="N333" s="168">
        <f ca="1">IFERROR(__xludf.DUMMYFUNCTION("IMPORTRANGE(""https://docs.google.com/spreadsheets/d/1Yj_ptqi66GCucihVvJfMjLAmec39IyEx_6qawtMGysU/edit?usp=sharing"",""สบก!DM33"")"),296990)</f>
        <v>296990</v>
      </c>
      <c r="O333" s="168">
        <f ca="1">IF(L333&gt;0,N333*100/L333,0)</f>
        <v>41.112710761648991</v>
      </c>
      <c r="P333" s="168">
        <f ca="1">IF(M333&gt;0,N333*100/M333,0)</f>
        <v>79.104517366290224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IFERROR(__xludf.DUMMYFUNCTION("IMPORTRANGE(""https://docs.google.com/spreadsheets/d/1Yj_ptqi66GCucihVvJfMjLAmec39IyEx_6qawtMGysU/edit?usp=sharing"",""สบก!DH33"")"),417600)</f>
        <v>417600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IFERROR(__xludf.DUMMYFUNCTION("IMPORTRANGE(""https://docs.google.com/spreadsheets/d/1Yj_ptqi66GCucihVvJfMjLAmec39IyEx_6qawtMGysU/edit?usp=sharing"",""สบก!DI33"")"),304780)</f>
        <v>304780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IFERROR(__xludf.DUMMYFUNCTION("IMPORTRANGE(""https://docs.google.com/spreadsheets/d/1Yj_ptqi66GCucihVvJfMjLAmec39IyEx_6qawtMGysU/edit?usp=sharing"",""สบก!DJ33"")"),11400)</f>
        <v>11400</v>
      </c>
      <c r="M337" s="49">
        <f ca="1">L337</f>
        <v>11400</v>
      </c>
      <c r="N337" s="49">
        <f ca="1">IFERROR(__xludf.DUMMYFUNCTION("IMPORTRANGE(""https://docs.google.com/spreadsheets/d/1Yj_ptqi66GCucihVvJfMjLAmec39IyEx_6qawtMGysU/edit?usp=sharing"",""สบก!DN33"")"),11400)</f>
        <v>11400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IFERROR(__xludf.DUMMYFUNCTION("IMPORTRANGE(""https://docs.google.com/spreadsheets/d/11923uPwbBZFjjGgGUA6NLw09EwE0CqkOc4q9oUmW1yo/edit?usp=sharing"",""ลำพูน!I234"")"),0)</f>
        <v>0</v>
      </c>
      <c r="J339" s="187">
        <f ca="1">IFERROR(__xludf.DUMMYFUNCTION("IMPORTRANGE(""https://docs.google.com/spreadsheets/d/11923uPwbBZFjjGgGUA6NLw09EwE0CqkOc4q9oUmW1yo/edit?usp=sharing"",""ลำพูน!J234"")"),62)</f>
        <v>62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IFERROR(__xludf.DUMMYFUNCTION("IMPORTRANGE(""https://docs.google.com/spreadsheets/d/11923uPwbBZFjjGgGUA6NLw09EwE0CqkOc4q9oUmW1yo/edit?usp=sharing"",""ลำพูน!I235"")"),700)</f>
        <v>700</v>
      </c>
      <c r="J340" s="187">
        <f ca="1">IFERROR(__xludf.DUMMYFUNCTION("IMPORTRANGE(""https://docs.google.com/spreadsheets/d/11923uPwbBZFjjGgGUA6NLw09EwE0CqkOc4q9oUmW1yo/edit?usp=sharing"",""ลำพูน!J235"")"),227.29)</f>
        <v>227.29</v>
      </c>
      <c r="K340" s="340">
        <f t="shared" ca="1" si="103"/>
        <v>32.47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IFERROR(__xludf.DUMMYFUNCTION("IMPORTRANGE(""https://docs.google.com/spreadsheets/d/11923uPwbBZFjjGgGUA6NLw09EwE0CqkOc4q9oUmW1yo/edit?usp=sharing"",""ลำพูน!I236"")"),222)</f>
        <v>222</v>
      </c>
      <c r="J341" s="187">
        <f ca="1">IFERROR(__xludf.DUMMYFUNCTION("IMPORTRANGE(""https://docs.google.com/spreadsheets/d/11923uPwbBZFjjGgGUA6NLw09EwE0CqkOc4q9oUmW1yo/edit?usp=sharing"",""ลำพูน!J236"")"),26)</f>
        <v>26</v>
      </c>
      <c r="K341" s="340">
        <f t="shared" ca="1" si="103"/>
        <v>11.711711711711711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IFERROR(__xludf.DUMMYFUNCTION("IMPORTRANGE(""https://docs.google.com/spreadsheets/d/11923uPwbBZFjjGgGUA6NLw09EwE0CqkOc4q9oUmW1yo/edit?usp=sharing"",""ลำพูน!I237"")"),0)</f>
        <v>0</v>
      </c>
      <c r="J342" s="187">
        <f ca="1">IFERROR(__xludf.DUMMYFUNCTION("IMPORTRANGE(""https://docs.google.com/spreadsheets/d/11923uPwbBZFjjGgGUA6NLw09EwE0CqkOc4q9oUmW1yo/edit?usp=sharing"",""ลำพูน!J237"")"),173.64)</f>
        <v>173.64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IFERROR(__xludf.DUMMYFUNCTION("IMPORTRANGE(""https://docs.google.com/spreadsheets/d/11923uPwbBZFjjGgGUA6NLw09EwE0CqkOc4q9oUmW1yo/edit?usp=sharing"",""ลำพูน!I238"")"),222)</f>
        <v>222</v>
      </c>
      <c r="J343" s="187">
        <f ca="1">IFERROR(__xludf.DUMMYFUNCTION("IMPORTRANGE(""https://docs.google.com/spreadsheets/d/11923uPwbBZFjjGgGUA6NLw09EwE0CqkOc4q9oUmW1yo/edit?usp=sharing"",""ลำพูน!J238"")"),0)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IFERROR(__xludf.DUMMYFUNCTION("IMPORTRANGE(""https://docs.google.com/spreadsheets/d/11923uPwbBZFjjGgGUA6NLw09EwE0CqkOc4q9oUmW1yo/edit?usp=sharing"",""ลำพูน!I239"")"),0)</f>
        <v>0</v>
      </c>
      <c r="J344" s="187">
        <f ca="1">IFERROR(__xludf.DUMMYFUNCTION("IMPORTRANGE(""https://docs.google.com/spreadsheets/d/11923uPwbBZFjjGgGUA6NLw09EwE0CqkOc4q9oUmW1yo/edit?usp=sharing"",""ลำพูน!J239"")"),0)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IFERROR(__xludf.DUMMYFUNCTION("IMPORTRANGE(""https://docs.google.com/spreadsheets/d/11923uPwbBZFjjGgGUA6NLw09EwE0CqkOc4q9oUmW1yo/edit?usp=sharing"",""ลำพูน!I240"")"),222)</f>
        <v>222</v>
      </c>
      <c r="J345" s="187">
        <f ca="1">IFERROR(__xludf.DUMMYFUNCTION("IMPORTRANGE(""https://docs.google.com/spreadsheets/d/11923uPwbBZFjjGgGUA6NLw09EwE0CqkOc4q9oUmW1yo/edit?usp=sharing"",""ลำพูน!J240"")"),26)</f>
        <v>26</v>
      </c>
      <c r="K345" s="340">
        <f t="shared" ca="1" si="103"/>
        <v>11.711711711711711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IFERROR(__xludf.DUMMYFUNCTION("IMPORTRANGE(""https://docs.google.com/spreadsheets/d/11923uPwbBZFjjGgGUA6NLw09EwE0CqkOc4q9oUmW1yo/edit?usp=sharing"",""ลำพูน!I241"")"),0)</f>
        <v>0</v>
      </c>
      <c r="J346" s="187">
        <f ca="1">IFERROR(__xludf.DUMMYFUNCTION("IMPORTRANGE(""https://docs.google.com/spreadsheets/d/11923uPwbBZFjjGgGUA6NLw09EwE0CqkOc4q9oUmW1yo/edit?usp=sharing"",""ลำพูน!J241"")"),173.64)</f>
        <v>173.64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IFERROR(__xludf.DUMMYFUNCTION("IMPORTRANGE(""https://docs.google.com/spreadsheets/d/11923uPwbBZFjjGgGUA6NLw09EwE0CqkOc4q9oUmW1yo/edit?usp=sharing"",""ลำพูน!L242"")"),2407110)</f>
        <v>2407110</v>
      </c>
      <c r="M347" s="356"/>
      <c r="N347" s="356">
        <f ca="1">IFERROR(__xludf.DUMMYFUNCTION("IMPORTRANGE(""https://docs.google.com/spreadsheets/d/11923uPwbBZFjjGgGUA6NLw09EwE0CqkOc4q9oUmW1yo/edit?usp=sharing"",""ลำพูน!M242"")"),636778)</f>
        <v>636778</v>
      </c>
      <c r="O347" s="356">
        <f ca="1">+IF(L347&gt;0,N347*100/L347,0)</f>
        <v>26.45404655375118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IFERROR(__xludf.DUMMYFUNCTION("IMPORTRANGE(""https://docs.google.com/spreadsheets/d/11923uPwbBZFjjGgGUA6NLw09EwE0CqkOc4q9oUmW1yo/edit?usp=sharing"",""ลำพูน!I244"")"),200)</f>
        <v>200</v>
      </c>
      <c r="J349" s="369">
        <f ca="1">IFERROR(__xludf.DUMMYFUNCTION("IMPORTRANGE(""https://docs.google.com/spreadsheets/d/11923uPwbBZFjjGgGUA6NLw09EwE0CqkOc4q9oUmW1yo/edit?usp=sharing"",""ลำพูน!J244"")"),200)</f>
        <v>200</v>
      </c>
      <c r="K349" s="370">
        <f t="shared" ref="K349:K350" ca="1" si="104">IF(I349&gt;0,J349*100/I349,0)</f>
        <v>100</v>
      </c>
      <c r="L349" s="371">
        <f ca="1">IFERROR(__xludf.DUMMYFUNCTION("IMPORTRANGE(""https://docs.google.com/spreadsheets/d/11923uPwbBZFjjGgGUA6NLw09EwE0CqkOc4q9oUmW1yo/edit?usp=sharing"",""ลำพูน!L244"")"),459380)</f>
        <v>459380</v>
      </c>
      <c r="M349" s="371"/>
      <c r="N349" s="371">
        <f ca="1">IFERROR(__xludf.DUMMYFUNCTION("IMPORTRANGE(""https://docs.google.com/spreadsheets/d/11923uPwbBZFjjGgGUA6NLw09EwE0CqkOc4q9oUmW1yo/edit?usp=sharing"",""ลำพูน!M244"")"),323820)</f>
        <v>323820</v>
      </c>
      <c r="O349" s="371">
        <f ca="1">+IF(L349&gt;0,N349*100/L349,0)</f>
        <v>70.490661326135225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IFERROR(__xludf.DUMMYFUNCTION("IMPORTRANGE(""https://docs.google.com/spreadsheets/d/11923uPwbBZFjjGgGUA6NLw09EwE0CqkOc4q9oUmW1yo/edit?usp=sharing"",""ลำพูน!I245"")"),70)</f>
        <v>70</v>
      </c>
      <c r="J350" s="369">
        <f ca="1">IFERROR(__xludf.DUMMYFUNCTION("IMPORTRANGE(""https://docs.google.com/spreadsheets/d/11923uPwbBZFjjGgGUA6NLw09EwE0CqkOc4q9oUmW1yo/edit?usp=sharing"",""ลำพูน!J245"")"),70)</f>
        <v>70</v>
      </c>
      <c r="K350" s="370">
        <f t="shared" ca="1" si="104"/>
        <v>100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IFERROR(__xludf.DUMMYFUNCTION("IMPORTRANGE(""https://docs.google.com/spreadsheets/d/11923uPwbBZFjjGgGUA6NLw09EwE0CqkOc4q9oUmW1yo/edit?usp=sharing"",""ลำพูน!L246"")"),0)</f>
        <v>0</v>
      </c>
      <c r="M351" s="164"/>
      <c r="N351" s="164">
        <f ca="1">IFERROR(__xludf.DUMMYFUNCTION("IMPORTRANGE(""https://docs.google.com/spreadsheets/d/11923uPwbBZFjjGgGUA6NLw09EwE0CqkOc4q9oUmW1yo/edit?usp=sharing"",""ลำพูน!M246"")"),0)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IFERROR(__xludf.DUMMYFUNCTION("IMPORTRANGE(""https://docs.google.com/spreadsheets/d/11923uPwbBZFjjGgGUA6NLw09EwE0CqkOc4q9oUmW1yo/edit?usp=sharing"",""ลำพูน!L247"")"),459380)</f>
        <v>459380</v>
      </c>
      <c r="M352" s="165"/>
      <c r="N352" s="164">
        <f ca="1">IFERROR(__xludf.DUMMYFUNCTION("IMPORTRANGE(""https://docs.google.com/spreadsheets/d/11923uPwbBZFjjGgGUA6NLw09EwE0CqkOc4q9oUmW1yo/edit?usp=sharing"",""ลำพูน!M247"")"),323820)</f>
        <v>323820</v>
      </c>
      <c r="O352" s="165">
        <f t="shared" ca="1" si="105"/>
        <v>70.490661326135225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IFERROR(__xludf.DUMMYFUNCTION("IMPORTRANGE(""https://docs.google.com/spreadsheets/d/11923uPwbBZFjjGgGUA6NLw09EwE0CqkOc4q9oUmW1yo/edit?usp=sharing"",""ลำพูน!L248"")"),0)</f>
        <v>0</v>
      </c>
      <c r="M353" s="168"/>
      <c r="N353" s="168">
        <f ca="1">IFERROR(__xludf.DUMMYFUNCTION("IMPORTRANGE(""https://docs.google.com/spreadsheets/d/11923uPwbBZFjjGgGUA6NLw09EwE0CqkOc4q9oUmW1yo/edit?usp=sharing"",""ลำพูน!M248"")"),0)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IFERROR(__xludf.DUMMYFUNCTION("IMPORTRANGE(""https://docs.google.com/spreadsheets/d/11923uPwbBZFjjGgGUA6NLw09EwE0CqkOc4q9oUmW1yo/edit?usp=sharing"",""ลำพูน!L249"")"),459380)</f>
        <v>459380</v>
      </c>
      <c r="M354" s="168"/>
      <c r="N354" s="167">
        <f ca="1">IFERROR(__xludf.DUMMYFUNCTION("IMPORTRANGE(""https://docs.google.com/spreadsheets/d/11923uPwbBZFjjGgGUA6NLw09EwE0CqkOc4q9oUmW1yo/edit?usp=sharing"",""ลำพูน!M249"")"),323820)</f>
        <v>323820</v>
      </c>
      <c r="O354" s="168">
        <f t="shared" ca="1" si="105"/>
        <v>70.490661326135225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IFERROR(__xludf.DUMMYFUNCTION("IMPORTRANGE(""https://docs.google.com/spreadsheets/d/11923uPwbBZFjjGgGUA6NLw09EwE0CqkOc4q9oUmW1yo/edit?usp=sharing"",""ลำพูน!M250"")"),84600)</f>
        <v>84600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IFERROR(__xludf.DUMMYFUNCTION("IMPORTRANGE(""https://docs.google.com/spreadsheets/d/11923uPwbBZFjjGgGUA6NLw09EwE0CqkOc4q9oUmW1yo/edit?usp=sharing"",""ลำพูน!M251"")"),183800)</f>
        <v>183800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IFERROR(__xludf.DUMMYFUNCTION("IMPORTRANGE(""https://docs.google.com/spreadsheets/d/11923uPwbBZFjjGgGUA6NLw09EwE0CqkOc4q9oUmW1yo/edit?usp=sharing"",""ลำพูน!M252"")"),42935)</f>
        <v>42935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IFERROR(__xludf.DUMMYFUNCTION("IMPORTRANGE(""https://docs.google.com/spreadsheets/d/11923uPwbBZFjjGgGUA6NLw09EwE0CqkOc4q9oUmW1yo/edit?usp=sharing"",""ลำพูน!M253"")"),12485)</f>
        <v>12485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IFERROR(__xludf.DUMMYFUNCTION("IMPORTRANGE(""https://docs.google.com/spreadsheets/d/11923uPwbBZFjjGgGUA6NLw09EwE0CqkOc4q9oUmW1yo/edit?usp=sharing"",""ลำพูน!J255"")"),0)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IFERROR(__xludf.DUMMYFUNCTION("IMPORTRANGE(""https://docs.google.com/spreadsheets/d/11923uPwbBZFjjGgGUA6NLw09EwE0CqkOc4q9oUmW1yo/edit?usp=sharing"",""ลำพูน!J256"")"),1)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IFERROR(__xludf.DUMMYFUNCTION("IMPORTRANGE(""https://docs.google.com/spreadsheets/d/11923uPwbBZFjjGgGUA6NLw09EwE0CqkOc4q9oUmW1yo/edit?usp=sharing"",""ลำพูน!J257"")"),1)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IFERROR(__xludf.DUMMYFUNCTION("IMPORTRANGE(""https://docs.google.com/spreadsheets/d/11923uPwbBZFjjGgGUA6NLw09EwE0CqkOc4q9oUmW1yo/edit?usp=sharing"",""ลำพูน!J258"")"),1)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IFERROR(__xludf.DUMMYFUNCTION("IMPORTRANGE(""https://docs.google.com/spreadsheets/d/11923uPwbBZFjjGgGUA6NLw09EwE0CqkOc4q9oUmW1yo/edit?usp=sharing"",""ลำพูน!J166"")"),0)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IFERROR(__xludf.DUMMYFUNCTION("IMPORTRANGE(""https://docs.google.com/spreadsheets/d/11923uPwbBZFjjGgGUA6NLw09EwE0CqkOc4q9oUmW1yo/edit?usp=sharing"",""ลำพูน!J166"")"),0)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IFERROR(__xludf.DUMMYFUNCTION("IMPORTRANGE(""https://docs.google.com/spreadsheets/d/11923uPwbBZFjjGgGUA6NLw09EwE0CqkOc4q9oUmW1yo/edit?usp=sharing"",""ลำพูน!J166"")"),0)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IFERROR(__xludf.DUMMYFUNCTION("IMPORTRANGE(""https://docs.google.com/spreadsheets/d/11923uPwbBZFjjGgGUA6NLw09EwE0CqkOc4q9oUmW1yo/edit?usp=sharing"",""ลำพูน!J166"")"),0)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IFERROR(__xludf.DUMMYFUNCTION("IMPORTRANGE(""https://docs.google.com/spreadsheets/d/11923uPwbBZFjjGgGUA6NLw09EwE0CqkOc4q9oUmW1yo/edit?usp=sharing"",""ลำพูน!I263"")"),70)</f>
        <v>70</v>
      </c>
      <c r="J368" s="187">
        <f ca="1">IFERROR(__xludf.DUMMYFUNCTION("IMPORTRANGE(""https://docs.google.com/spreadsheets/d/11923uPwbBZFjjGgGUA6NLw09EwE0CqkOc4q9oUmW1yo/edit?usp=sharing"",""ลำพูน!J263"")"),70)</f>
        <v>70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IFERROR(__xludf.DUMMYFUNCTION("IMPORTRANGE(""https://docs.google.com/spreadsheets/d/11923uPwbBZFjjGgGUA6NLw09EwE0CqkOc4q9oUmW1yo/edit?usp=sharing"",""ลำพูน!I164"")"),0)</f>
        <v>0</v>
      </c>
      <c r="J369" s="203">
        <f ca="1">IFERROR(__xludf.DUMMYFUNCTION("IMPORTRANGE(""https://docs.google.com/spreadsheets/d/11923uPwbBZFjjGgGUA6NLw09EwE0CqkOc4q9oUmW1yo/edit?usp=sharing"",""ลำพูน!J164"")"),0)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IFERROR(__xludf.DUMMYFUNCTION("IMPORTRANGE(""https://docs.google.com/spreadsheets/d/11923uPwbBZFjjGgGUA6NLw09EwE0CqkOc4q9oUmW1yo/edit?usp=sharing"",""ลำพูน!I265"")"),70)</f>
        <v>70</v>
      </c>
      <c r="J370" s="203">
        <f ca="1">IFERROR(__xludf.DUMMYFUNCTION("IMPORTRANGE(""https://docs.google.com/spreadsheets/d/11923uPwbBZFjjGgGUA6NLw09EwE0CqkOc4q9oUmW1yo/edit?usp=sharing"",""ลำพูน!J265"")"),70)</f>
        <v>70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IFERROR(__xludf.DUMMYFUNCTION("IMPORTRANGE(""https://docs.google.com/spreadsheets/d/11923uPwbBZFjjGgGUA6NLw09EwE0CqkOc4q9oUmW1yo/edit?usp=sharing"",""ลำพูน!I164"")"),0)</f>
        <v>0</v>
      </c>
      <c r="J371" s="188">
        <f ca="1">IFERROR(__xludf.DUMMYFUNCTION("IMPORTRANGE(""https://docs.google.com/spreadsheets/d/11923uPwbBZFjjGgGUA6NLw09EwE0CqkOc4q9oUmW1yo/edit?usp=sharing"",""ลำพูน!J164"")"),0)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IFERROR(__xludf.DUMMYFUNCTION("IMPORTRANGE(""https://docs.google.com/spreadsheets/d/11923uPwbBZFjjGgGUA6NLw09EwE0CqkOc4q9oUmW1yo/edit?usp=sharing"",""ลำพูน!I267"")"),70)</f>
        <v>70</v>
      </c>
      <c r="J372" s="188">
        <f ca="1">IFERROR(__xludf.DUMMYFUNCTION("IMPORTRANGE(""https://docs.google.com/spreadsheets/d/11923uPwbBZFjjGgGUA6NLw09EwE0CqkOc4q9oUmW1yo/edit?usp=sharing"",""ลำพูน!J267"")"),70)</f>
        <v>70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IFERROR(__xludf.DUMMYFUNCTION("IMPORTRANGE(""https://docs.google.com/spreadsheets/d/11923uPwbBZFjjGgGUA6NLw09EwE0CqkOc4q9oUmW1yo/edit?usp=sharing"",""ลำพูน!I164"")"),0)</f>
        <v>0</v>
      </c>
      <c r="J373" s="203">
        <f ca="1">IFERROR(__xludf.DUMMYFUNCTION("IMPORTRANGE(""https://docs.google.com/spreadsheets/d/11923uPwbBZFjjGgGUA6NLw09EwE0CqkOc4q9oUmW1yo/edit?usp=sharing"",""ลำพูน!J164"")"),0)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IFERROR(__xludf.DUMMYFUNCTION("IMPORTRANGE(""https://docs.google.com/spreadsheets/d/11923uPwbBZFjjGgGUA6NLw09EwE0CqkOc4q9oUmW1yo/edit?usp=sharing"",""ลำพูน!I164"")"),0)</f>
        <v>0</v>
      </c>
      <c r="J374" s="187">
        <f ca="1">IFERROR(__xludf.DUMMYFUNCTION("IMPORTRANGE(""https://docs.google.com/spreadsheets/d/11923uPwbBZFjjGgGUA6NLw09EwE0CqkOc4q9oUmW1yo/edit?usp=sharing"",""ลำพูน!J164"")"),0)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IFERROR(__xludf.DUMMYFUNCTION("IMPORTRANGE(""https://docs.google.com/spreadsheets/d/11923uPwbBZFjjGgGUA6NLw09EwE0CqkOc4q9oUmW1yo/edit?usp=sharing"",""ลำพูน!I270"")"),200)</f>
        <v>200</v>
      </c>
      <c r="J375" s="187">
        <f ca="1">IFERROR(__xludf.DUMMYFUNCTION("IMPORTRANGE(""https://docs.google.com/spreadsheets/d/11923uPwbBZFjjGgGUA6NLw09EwE0CqkOc4q9oUmW1yo/edit?usp=sharing"",""ลำพูน!J270"")"),200)</f>
        <v>200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IFERROR(__xludf.DUMMYFUNCTION("IMPORTRANGE(""https://docs.google.com/spreadsheets/d/11923uPwbBZFjjGgGUA6NLw09EwE0CqkOc4q9oUmW1yo/edit?usp=sharing"",""ลำพูน!I271"")"),100)</f>
        <v>100</v>
      </c>
      <c r="J376" s="188">
        <f ca="1">IFERROR(__xludf.DUMMYFUNCTION("IMPORTRANGE(""https://docs.google.com/spreadsheets/d/11923uPwbBZFjjGgGUA6NLw09EwE0CqkOc4q9oUmW1yo/edit?usp=sharing"",""ลำพูน!J271"")"),100)</f>
        <v>100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IFERROR(__xludf.DUMMYFUNCTION("IMPORTRANGE(""https://docs.google.com/spreadsheets/d/11923uPwbBZFjjGgGUA6NLw09EwE0CqkOc4q9oUmW1yo/edit?usp=sharing"",""ลำพูน!I272"")"),100)</f>
        <v>100</v>
      </c>
      <c r="J377" s="203">
        <f ca="1">IFERROR(__xludf.DUMMYFUNCTION("IMPORTRANGE(""https://docs.google.com/spreadsheets/d/11923uPwbBZFjjGgGUA6NLw09EwE0CqkOc4q9oUmW1yo/edit?usp=sharing"",""ลำพูน!J272"")"),100)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IFERROR(__xludf.DUMMYFUNCTION("IMPORTRANGE(""https://docs.google.com/spreadsheets/d/11923uPwbBZFjjGgGUA6NLw09EwE0CqkOc4q9oUmW1yo/edit?usp=sharing"",""ลำพูน!J273"")"),1)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IFERROR(__xludf.DUMMYFUNCTION("IMPORTRANGE(""https://docs.google.com/spreadsheets/d/11923uPwbBZFjjGgGUA6NLw09EwE0CqkOc4q9oUmW1yo/edit?usp=sharing"",""ลำพูน!J274"")"),0)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IFERROR(__xludf.DUMMYFUNCTION("IMPORTRANGE(""https://docs.google.com/spreadsheets/d/11923uPwbBZFjjGgGUA6NLw09EwE0CqkOc4q9oUmW1yo/edit?usp=sharing"",""ลำพูน!I275"")"),1000)</f>
        <v>1000</v>
      </c>
      <c r="J380" s="369">
        <f ca="1">IFERROR(__xludf.DUMMYFUNCTION("IMPORTRANGE(""https://docs.google.com/spreadsheets/d/11923uPwbBZFjjGgGUA6NLw09EwE0CqkOc4q9oUmW1yo/edit?usp=sharing"",""ลำพูน!J275"")"),0)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IFERROR(__xludf.DUMMYFUNCTION("IMPORTRANGE(""https://docs.google.com/spreadsheets/d/11923uPwbBZFjjGgGUA6NLw09EwE0CqkOc4q9oUmW1yo/edit?usp=sharing"",""ลำพูน!L275"")"),1028520)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IFERROR(__xludf.DUMMYFUNCTION("IMPORTRANGE(""https://docs.google.com/spreadsheets/d/11923uPwbBZFjjGgGUA6NLw09EwE0CqkOc4q9oUmW1yo/edit?usp=sharing"",""ลำพูน!M275"")"),77675)</f>
        <v>77675</v>
      </c>
      <c r="O380" s="371">
        <f ca="1">+IF(L380&gt;0,N380*100/L380,0)</f>
        <v>7.552113716796951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IFERROR(__xludf.DUMMYFUNCTION("IMPORTRANGE(""https://docs.google.com/spreadsheets/d/11923uPwbBZFjjGgGUA6NLw09EwE0CqkOc4q9oUmW1yo/edit?usp=sharing"",""ลำพูน!I276"")"),100)</f>
        <v>100</v>
      </c>
      <c r="J381" s="369">
        <f ca="1">IFERROR(__xludf.DUMMYFUNCTION("IMPORTRANGE(""https://docs.google.com/spreadsheets/d/11923uPwbBZFjjGgGUA6NLw09EwE0CqkOc4q9oUmW1yo/edit?usp=sharing"",""ลำพูน!J276"")"),100)</f>
        <v>100</v>
      </c>
      <c r="K381" s="370">
        <f t="shared" ca="1" si="108"/>
        <v>100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IFERROR(__xludf.DUMMYFUNCTION("IMPORTRANGE(""https://docs.google.com/spreadsheets/d/11923uPwbBZFjjGgGUA6NLw09EwE0CqkOc4q9oUmW1yo/edit?usp=sharing"",""ลำพูน!L277"")"),0)</f>
        <v>0</v>
      </c>
      <c r="M382" s="164"/>
      <c r="N382" s="164">
        <f ca="1">IFERROR(__xludf.DUMMYFUNCTION("IMPORTRANGE(""https://docs.google.com/spreadsheets/d/11923uPwbBZFjjGgGUA6NLw09EwE0CqkOc4q9oUmW1yo/edit?usp=sharing"",""ลำพูน!M277"")"),0)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IFERROR(__xludf.DUMMYFUNCTION("IMPORTRANGE(""https://docs.google.com/spreadsheets/d/11923uPwbBZFjjGgGUA6NLw09EwE0CqkOc4q9oUmW1yo/edit?usp=sharing"",""ลำพูน!L278"")"),1028520)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IFERROR(__xludf.DUMMYFUNCTION("IMPORTRANGE(""https://docs.google.com/spreadsheets/d/11923uPwbBZFjjGgGUA6NLw09EwE0CqkOc4q9oUmW1yo/edit?usp=sharing"",""ลำพูน!M278"")"),77675)</f>
        <v>77675</v>
      </c>
      <c r="O383" s="165">
        <f t="shared" ca="1" si="109"/>
        <v>7.552113716796951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IFERROR(__xludf.DUMMYFUNCTION("IMPORTRANGE(""https://docs.google.com/spreadsheets/d/11923uPwbBZFjjGgGUA6NLw09EwE0CqkOc4q9oUmW1yo/edit?usp=sharing"",""ลำพูน!L279"")"),0)</f>
        <v>0</v>
      </c>
      <c r="M384" s="168"/>
      <c r="N384" s="168">
        <f ca="1">IFERROR(__xludf.DUMMYFUNCTION("IMPORTRANGE(""https://docs.google.com/spreadsheets/d/11923uPwbBZFjjGgGUA6NLw09EwE0CqkOc4q9oUmW1yo/edit?usp=sharing"",""ลำพูน!M279"")"),0)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IFERROR(__xludf.DUMMYFUNCTION("IMPORTRANGE(""https://docs.google.com/spreadsheets/d/11923uPwbBZFjjGgGUA6NLw09EwE0CqkOc4q9oUmW1yo/edit?usp=sharing"",""ลำพูน!L280"")"),1028520)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IFERROR(__xludf.DUMMYFUNCTION("IMPORTRANGE(""https://docs.google.com/spreadsheets/d/11923uPwbBZFjjGgGUA6NLw09EwE0CqkOc4q9oUmW1yo/edit?usp=sharing"",""ลำพูน!M280"")"),77675)</f>
        <v>77675</v>
      </c>
      <c r="O385" s="168">
        <f t="shared" ca="1" si="109"/>
        <v>7.552113716796951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IFERROR(__xludf.DUMMYFUNCTION("IMPORTRANGE(""https://docs.google.com/spreadsheets/d/11923uPwbBZFjjGgGUA6NLw09EwE0CqkOc4q9oUmW1yo/edit?usp=sharing"",""ลำพูน!M281"")"),21740)</f>
        <v>21740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IFERROR(__xludf.DUMMYFUNCTION("IMPORTRANGE(""https://docs.google.com/spreadsheets/d/11923uPwbBZFjjGgGUA6NLw09EwE0CqkOc4q9oUmW1yo/edit?usp=sharing"",""ลำพูน!M282"")"),0)</f>
        <v>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IFERROR(__xludf.DUMMYFUNCTION("IMPORTRANGE(""https://docs.google.com/spreadsheets/d/11923uPwbBZFjjGgGUA6NLw09EwE0CqkOc4q9oUmW1yo/edit?usp=sharing"",""ลำพูน!M283"")"),42935)</f>
        <v>42935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IFERROR(__xludf.DUMMYFUNCTION("IMPORTRANGE(""https://docs.google.com/spreadsheets/d/11923uPwbBZFjjGgGUA6NLw09EwE0CqkOc4q9oUmW1yo/edit?usp=sharing"",""ลำพูน!M284"")"),13000)</f>
        <v>13000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IFERROR(__xludf.DUMMYFUNCTION("IMPORTRANGE(""https://docs.google.com/spreadsheets/d/11923uPwbBZFjjGgGUA6NLw09EwE0CqkOc4q9oUmW1yo/edit?usp=sharing"",""ลำพูน!J286"")"),0)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IFERROR(__xludf.DUMMYFUNCTION("IMPORTRANGE(""https://docs.google.com/spreadsheets/d/11923uPwbBZFjjGgGUA6NLw09EwE0CqkOc4q9oUmW1yo/edit?usp=sharing"",""ลำพูน!J287"")"),1)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IFERROR(__xludf.DUMMYFUNCTION("IMPORTRANGE(""https://docs.google.com/spreadsheets/d/11923uPwbBZFjjGgGUA6NLw09EwE0CqkOc4q9oUmW1yo/edit?usp=sharing"",""ลำพูน!J288"")"),1)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IFERROR(__xludf.DUMMYFUNCTION("IMPORTRANGE(""https://docs.google.com/spreadsheets/d/11923uPwbBZFjjGgGUA6NLw09EwE0CqkOc4q9oUmW1yo/edit?usp=sharing"",""ลำพูน!J289"")"),1)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IFERROR(__xludf.DUMMYFUNCTION("IMPORTRANGE(""https://docs.google.com/spreadsheets/d/11923uPwbBZFjjGgGUA6NLw09EwE0CqkOc4q9oUmW1yo/edit?usp=sharing"",""ลำพูน!I291"")"),100)</f>
        <v>100</v>
      </c>
      <c r="J396" s="197">
        <f ca="1">IFERROR(__xludf.DUMMYFUNCTION("IMPORTRANGE(""https://docs.google.com/spreadsheets/d/11923uPwbBZFjjGgGUA6NLw09EwE0CqkOc4q9oUmW1yo/edit?usp=sharing"",""ลำพูน!J291"")"),100)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IFERROR(__xludf.DUMMYFUNCTION("IMPORTRANGE(""https://docs.google.com/spreadsheets/d/11923uPwbBZFjjGgGUA6NLw09EwE0CqkOc4q9oUmW1yo/edit?usp=sharing"",""ลำพูน!I292"")"),1000)</f>
        <v>1000</v>
      </c>
      <c r="J397" s="197">
        <f ca="1">IFERROR(__xludf.DUMMYFUNCTION("IMPORTRANGE(""https://docs.google.com/spreadsheets/d/11923uPwbBZFjjGgGUA6NLw09EwE0CqkOc4q9oUmW1yo/edit?usp=sharing"",""ลำพูน!J292"")"),0)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IFERROR(__xludf.DUMMYFUNCTION("IMPORTRANGE(""https://docs.google.com/spreadsheets/d/11923uPwbBZFjjGgGUA6NLw09EwE0CqkOc4q9oUmW1yo/edit?usp=sharing"",""ลำพูน!I293"")"),100)</f>
        <v>100</v>
      </c>
      <c r="J398" s="197">
        <f ca="1">IFERROR(__xludf.DUMMYFUNCTION("IMPORTRANGE(""https://docs.google.com/spreadsheets/d/11923uPwbBZFjjGgGUA6NLw09EwE0CqkOc4q9oUmW1yo/edit?usp=sharing"",""ลำพูน!J293"")"),0)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IFERROR(__xludf.DUMMYFUNCTION("IMPORTRANGE(""https://docs.google.com/spreadsheets/d/11923uPwbBZFjjGgGUA6NLw09EwE0CqkOc4q9oUmW1yo/edit?usp=sharing"",""ลำพูน!J294"")"),0)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IFERROR(__xludf.DUMMYFUNCTION("IMPORTRANGE(""https://docs.google.com/spreadsheets/d/11923uPwbBZFjjGgGUA6NLw09EwE0CqkOc4q9oUmW1yo/edit?usp=sharing"",""ลำพูน!J295"")"),0)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IFERROR(__xludf.DUMMYFUNCTION("IMPORTRANGE(""https://docs.google.com/spreadsheets/d/11923uPwbBZFjjGgGUA6NLw09EwE0CqkOc4q9oUmW1yo/edit?usp=sharing"",""ลำพูน!I296"")"),165)</f>
        <v>165</v>
      </c>
      <c r="J401" s="369">
        <f ca="1">IFERROR(__xludf.DUMMYFUNCTION("IMPORTRANGE(""https://docs.google.com/spreadsheets/d/11923uPwbBZFjjGgGUA6NLw09EwE0CqkOc4q9oUmW1yo/edit?usp=sharing"",""ลำพูน!J296"")"),165)</f>
        <v>165</v>
      </c>
      <c r="K401" s="370">
        <f t="shared" ref="K401:K402" ca="1" si="111">IF(I401&gt;0,J401*100/I401,0)</f>
        <v>100</v>
      </c>
      <c r="L401" s="371">
        <f ca="1">IFERROR(__xludf.DUMMYFUNCTION("IMPORTRANGE(""https://docs.google.com/spreadsheets/d/11923uPwbBZFjjGgGUA6NLw09EwE0CqkOc4q9oUmW1yo/edit?usp=sharing"",""ลำพูน!L296"")"),188190)</f>
        <v>188190</v>
      </c>
      <c r="M401" s="371"/>
      <c r="N401" s="371">
        <f ca="1">IFERROR(__xludf.DUMMYFUNCTION("IMPORTRANGE(""https://docs.google.com/spreadsheets/d/11923uPwbBZFjjGgGUA6NLw09EwE0CqkOc4q9oUmW1yo/edit?usp=sharing"",""ลำพูน!M296"")"),55150)</f>
        <v>55150</v>
      </c>
      <c r="O401" s="371">
        <f ca="1">+IF(L401&gt;0,N401*100/L401,0)</f>
        <v>29.305489133322705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IFERROR(__xludf.DUMMYFUNCTION("IMPORTRANGE(""https://docs.google.com/spreadsheets/d/11923uPwbBZFjjGgGUA6NLw09EwE0CqkOc4q9oUmW1yo/edit?usp=sharing"",""ลำพูน!I297"")"),55)</f>
        <v>55</v>
      </c>
      <c r="J402" s="369">
        <f ca="1">IFERROR(__xludf.DUMMYFUNCTION("IMPORTRANGE(""https://docs.google.com/spreadsheets/d/11923uPwbBZFjjGgGUA6NLw09EwE0CqkOc4q9oUmW1yo/edit?usp=sharing"",""ลำพูน!J297"")"),10)</f>
        <v>10</v>
      </c>
      <c r="K402" s="370">
        <f t="shared" ca="1" si="111"/>
        <v>18.181818181818183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IFERROR(__xludf.DUMMYFUNCTION("IMPORTRANGE(""https://docs.google.com/spreadsheets/d/11923uPwbBZFjjGgGUA6NLw09EwE0CqkOc4q9oUmW1yo/edit?usp=sharing"",""ลำพูน!L298"")"),0)</f>
        <v>0</v>
      </c>
      <c r="M403" s="164"/>
      <c r="N403" s="168">
        <f ca="1">IFERROR(__xludf.DUMMYFUNCTION("IMPORTRANGE(""https://docs.google.com/spreadsheets/d/11923uPwbBZFjjGgGUA6NLw09EwE0CqkOc4q9oUmW1yo/edit?usp=sharing"",""ลำพูน!M298"")"),0)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IFERROR(__xludf.DUMMYFUNCTION("IMPORTRANGE(""https://docs.google.com/spreadsheets/d/11923uPwbBZFjjGgGUA6NLw09EwE0CqkOc4q9oUmW1yo/edit?usp=sharing"",""ลำพูน!L299"")"),188190)</f>
        <v>188190</v>
      </c>
      <c r="M404" s="165"/>
      <c r="N404" s="168">
        <f ca="1">IFERROR(__xludf.DUMMYFUNCTION("IMPORTRANGE(""https://docs.google.com/spreadsheets/d/11923uPwbBZFjjGgGUA6NLw09EwE0CqkOc4q9oUmW1yo/edit?usp=sharing"",""ลำพูน!M299"")"),55150)</f>
        <v>55150</v>
      </c>
      <c r="O404" s="168">
        <f t="shared" ca="1" si="112"/>
        <v>29.305489133322705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IFERROR(__xludf.DUMMYFUNCTION("IMPORTRANGE(""https://docs.google.com/spreadsheets/d/11923uPwbBZFjjGgGUA6NLw09EwE0CqkOc4q9oUmW1yo/edit?usp=sharing"",""ลำพูน!L300"")"),0)</f>
        <v>0</v>
      </c>
      <c r="M405" s="168"/>
      <c r="N405" s="168">
        <f ca="1">IFERROR(__xludf.DUMMYFUNCTION("IMPORTRANGE(""https://docs.google.com/spreadsheets/d/11923uPwbBZFjjGgGUA6NLw09EwE0CqkOc4q9oUmW1yo/edit?usp=sharing"",""ลำพูน!M300"")"),0)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IFERROR(__xludf.DUMMYFUNCTION("IMPORTRANGE(""https://docs.google.com/spreadsheets/d/11923uPwbBZFjjGgGUA6NLw09EwE0CqkOc4q9oUmW1yo/edit?usp=sharing"",""ลำพูน!L301"")"),188190)</f>
        <v>188190</v>
      </c>
      <c r="M406" s="168"/>
      <c r="N406" s="168">
        <f ca="1">IFERROR(__xludf.DUMMYFUNCTION("IMPORTRANGE(""https://docs.google.com/spreadsheets/d/11923uPwbBZFjjGgGUA6NLw09EwE0CqkOc4q9oUmW1yo/edit?usp=sharing"",""ลำพูน!M301"")"),55150)</f>
        <v>55150</v>
      </c>
      <c r="O406" s="168">
        <f t="shared" ca="1" si="112"/>
        <v>29.305489133322705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IFERROR(__xludf.DUMMYFUNCTION("IMPORTRANGE(""https://docs.google.com/spreadsheets/d/11923uPwbBZFjjGgGUA6NLw09EwE0CqkOc4q9oUmW1yo/edit?usp=sharing"",""ลำพูน!M302"")"),55150)</f>
        <v>55150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IFERROR(__xludf.DUMMYFUNCTION("IMPORTRANGE(""https://docs.google.com/spreadsheets/d/11923uPwbBZFjjGgGUA6NLw09EwE0CqkOc4q9oUmW1yo/edit?usp=sharing"",""ลำพูน!M303"")"),0)</f>
        <v>0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IFERROR(__xludf.DUMMYFUNCTION("IMPORTRANGE(""https://docs.google.com/spreadsheets/d/11923uPwbBZFjjGgGUA6NLw09EwE0CqkOc4q9oUmW1yo/edit?usp=sharing"",""ลำพูน!M304"")"),0)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IFERROR(__xludf.DUMMYFUNCTION("IMPORTRANGE(""https://docs.google.com/spreadsheets/d/11923uPwbBZFjjGgGUA6NLw09EwE0CqkOc4q9oUmW1yo/edit?usp=sharing"",""ลำพูน!M305"")"),0)</f>
        <v>0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IFERROR(__xludf.DUMMYFUNCTION("IMPORTRANGE(""https://docs.google.com/spreadsheets/d/11923uPwbBZFjjGgGUA6NLw09EwE0CqkOc4q9oUmW1yo/edit?usp=sharing"",""ลำพูน!J307"")"),0)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IFERROR(__xludf.DUMMYFUNCTION("IMPORTRANGE(""https://docs.google.com/spreadsheets/d/11923uPwbBZFjjGgGUA6NLw09EwE0CqkOc4q9oUmW1yo/edit?usp=sharing"",""ลำพูน!J308"")"),1)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IFERROR(__xludf.DUMMYFUNCTION("IMPORTRANGE(""https://docs.google.com/spreadsheets/d/11923uPwbBZFjjGgGUA6NLw09EwE0CqkOc4q9oUmW1yo/edit?usp=sharing"",""ลำพูน!J309"")"),1)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IFERROR(__xludf.DUMMYFUNCTION("IMPORTRANGE(""https://docs.google.com/spreadsheets/d/11923uPwbBZFjjGgGUA6NLw09EwE0CqkOc4q9oUmW1yo/edit?usp=sharing"",""ลำพูน!J310"")"),1)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IFERROR(__xludf.DUMMYFUNCTION("IMPORTRANGE(""https://docs.google.com/spreadsheets/d/11923uPwbBZFjjGgGUA6NLw09EwE0CqkOc4q9oUmW1yo/edit?usp=sharing"",""ลำพูน!I311"")"),55)</f>
        <v>55</v>
      </c>
      <c r="J416" s="200">
        <f ca="1">IFERROR(__xludf.DUMMYFUNCTION("IMPORTRANGE(""https://docs.google.com/spreadsheets/d/11923uPwbBZFjjGgGUA6NLw09EwE0CqkOc4q9oUmW1yo/edit?usp=sharing"",""ลำพูน!J311"")"),10)</f>
        <v>10</v>
      </c>
      <c r="K416" s="201">
        <f t="shared" ref="K416:K432" ca="1" si="113">IF(I416&gt;0,J416*100/I416,0)</f>
        <v>18.181818181818183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IFERROR(__xludf.DUMMYFUNCTION("IMPORTRANGE(""https://docs.google.com/spreadsheets/d/11923uPwbBZFjjGgGUA6NLw09EwE0CqkOc4q9oUmW1yo/edit?usp=sharing"",""ลำพูน!I312"")"),10)</f>
        <v>10</v>
      </c>
      <c r="J417" s="390">
        <f ca="1">IFERROR(__xludf.DUMMYFUNCTION("IMPORTRANGE(""https://docs.google.com/spreadsheets/d/11923uPwbBZFjjGgGUA6NLw09EwE0CqkOc4q9oUmW1yo/edit?usp=sharing"",""ลำพูน!J312"")"),0)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IFERROR(__xludf.DUMMYFUNCTION("IMPORTRANGE(""https://docs.google.com/spreadsheets/d/11923uPwbBZFjjGgGUA6NLw09EwE0CqkOc4q9oUmW1yo/edit?usp=sharing"",""ลำพูน!I313"")"),30)</f>
        <v>30</v>
      </c>
      <c r="J418" s="391">
        <f ca="1">IFERROR(__xludf.DUMMYFUNCTION("IMPORTRANGE(""https://docs.google.com/spreadsheets/d/11923uPwbBZFjjGgGUA6NLw09EwE0CqkOc4q9oUmW1yo/edit?usp=sharing"",""ลำพูน!J313"")"),30)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IFERROR(__xludf.DUMMYFUNCTION("IMPORTRANGE(""https://docs.google.com/spreadsheets/d/11923uPwbBZFjjGgGUA6NLw09EwE0CqkOc4q9oUmW1yo/edit?usp=sharing"",""ลำพูน!I314"")"),10)</f>
        <v>10</v>
      </c>
      <c r="J419" s="392">
        <f ca="1">IFERROR(__xludf.DUMMYFUNCTION("IMPORTRANGE(""https://docs.google.com/spreadsheets/d/11923uPwbBZFjjGgGUA6NLw09EwE0CqkOc4q9oUmW1yo/edit?usp=sharing"",""ลำพูน!J314"")"),10)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IFERROR(__xludf.DUMMYFUNCTION("IMPORTRANGE(""https://docs.google.com/spreadsheets/d/11923uPwbBZFjjGgGUA6NLw09EwE0CqkOc4q9oUmW1yo/edit?usp=sharing"",""ลำพูน!I315"")"),10)</f>
        <v>10</v>
      </c>
      <c r="J420" s="392">
        <f ca="1">IFERROR(__xludf.DUMMYFUNCTION("IMPORTRANGE(""https://docs.google.com/spreadsheets/d/11923uPwbBZFjjGgGUA6NLw09EwE0CqkOc4q9oUmW1yo/edit?usp=sharing"",""ลำพูน!J315"")"),0)</f>
        <v>0</v>
      </c>
      <c r="K420" s="286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IFERROR(__xludf.DUMMYFUNCTION("IMPORTRANGE(""https://docs.google.com/spreadsheets/d/11923uPwbBZFjjGgGUA6NLw09EwE0CqkOc4q9oUmW1yo/edit?usp=sharing"",""ลำพูน!I316"")"),35)</f>
        <v>35</v>
      </c>
      <c r="J421" s="390">
        <f ca="1">IFERROR(__xludf.DUMMYFUNCTION("IMPORTRANGE(""https://docs.google.com/spreadsheets/d/11923uPwbBZFjjGgGUA6NLw09EwE0CqkOc4q9oUmW1yo/edit?usp=sharing"",""ลำพูน!J316"")"),0)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IFERROR(__xludf.DUMMYFUNCTION("IMPORTRANGE(""https://docs.google.com/spreadsheets/d/11923uPwbBZFjjGgGUA6NLw09EwE0CqkOc4q9oUmW1yo/edit?usp=sharing"",""ลำพูน!I317"")"),105)</f>
        <v>105</v>
      </c>
      <c r="J422" s="391">
        <f ca="1">IFERROR(__xludf.DUMMYFUNCTION("IMPORTRANGE(""https://docs.google.com/spreadsheets/d/11923uPwbBZFjjGgGUA6NLw09EwE0CqkOc4q9oUmW1yo/edit?usp=sharing"",""ลำพูน!J317"")"),105)</f>
        <v>105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IFERROR(__xludf.DUMMYFUNCTION("IMPORTRANGE(""https://docs.google.com/spreadsheets/d/11923uPwbBZFjjGgGUA6NLw09EwE0CqkOc4q9oUmW1yo/edit?usp=sharing"",""ลำพูน!I318"")"),35)</f>
        <v>35</v>
      </c>
      <c r="J423" s="392">
        <f ca="1">IFERROR(__xludf.DUMMYFUNCTION("IMPORTRANGE(""https://docs.google.com/spreadsheets/d/11923uPwbBZFjjGgGUA6NLw09EwE0CqkOc4q9oUmW1yo/edit?usp=sharing"",""ลำพูน!J318"")"),35)</f>
        <v>35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IFERROR(__xludf.DUMMYFUNCTION("IMPORTRANGE(""https://docs.google.com/spreadsheets/d/11923uPwbBZFjjGgGUA6NLw09EwE0CqkOc4q9oUmW1yo/edit?usp=sharing"",""ลำพูน!I319"")"),35)</f>
        <v>35</v>
      </c>
      <c r="J424" s="392">
        <f ca="1">IFERROR(__xludf.DUMMYFUNCTION("IMPORTRANGE(""https://docs.google.com/spreadsheets/d/11923uPwbBZFjjGgGUA6NLw09EwE0CqkOc4q9oUmW1yo/edit?usp=sharing"",""ลำพูน!J319"")"),0)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IFERROR(__xludf.DUMMYFUNCTION("IMPORTRANGE(""https://docs.google.com/spreadsheets/d/11923uPwbBZFjjGgGUA6NLw09EwE0CqkOc4q9oUmW1yo/edit?usp=sharing"",""ลำพูน!I320"")"),35)</f>
        <v>35</v>
      </c>
      <c r="J425" s="392">
        <f ca="1">IFERROR(__xludf.DUMMYFUNCTION("IMPORTRANGE(""https://docs.google.com/spreadsheets/d/11923uPwbBZFjjGgGUA6NLw09EwE0CqkOc4q9oUmW1yo/edit?usp=sharing"",""ลำพูน!J320"")"),0)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IFERROR(__xludf.DUMMYFUNCTION("IMPORTRANGE(""https://docs.google.com/spreadsheets/d/11923uPwbBZFjjGgGUA6NLw09EwE0CqkOc4q9oUmW1yo/edit?usp=sharing"",""ลำพูน!I321"")"),10)</f>
        <v>10</v>
      </c>
      <c r="J426" s="390">
        <f ca="1">IFERROR(__xludf.DUMMYFUNCTION("IMPORTRANGE(""https://docs.google.com/spreadsheets/d/11923uPwbBZFjjGgGUA6NLw09EwE0CqkOc4q9oUmW1yo/edit?usp=sharing"",""ลำพูน!J321"")"),10)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IFERROR(__xludf.DUMMYFUNCTION("IMPORTRANGE(""https://docs.google.com/spreadsheets/d/11923uPwbBZFjjGgGUA6NLw09EwE0CqkOc4q9oUmW1yo/edit?usp=sharing"",""ลำพูน!I322"")"),30)</f>
        <v>30</v>
      </c>
      <c r="J427" s="391">
        <f ca="1">IFERROR(__xludf.DUMMYFUNCTION("IMPORTRANGE(""https://docs.google.com/spreadsheets/d/11923uPwbBZFjjGgGUA6NLw09EwE0CqkOc4q9oUmW1yo/edit?usp=sharing"",""ลำพูน!J322"")"),30)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IFERROR(__xludf.DUMMYFUNCTION("IMPORTRANGE(""https://docs.google.com/spreadsheets/d/11923uPwbBZFjjGgGUA6NLw09EwE0CqkOc4q9oUmW1yo/edit?usp=sharing"",""ลำพูน!I323"")"),10)</f>
        <v>10</v>
      </c>
      <c r="J428" s="392">
        <f ca="1">IFERROR(__xludf.DUMMYFUNCTION("IMPORTRANGE(""https://docs.google.com/spreadsheets/d/11923uPwbBZFjjGgGUA6NLw09EwE0CqkOc4q9oUmW1yo/edit?usp=sharing"",""ลำพูน!J323"")"),10)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IFERROR(__xludf.DUMMYFUNCTION("IMPORTRANGE(""https://docs.google.com/spreadsheets/d/11923uPwbBZFjjGgGUA6NLw09EwE0CqkOc4q9oUmW1yo/edit?usp=sharing"",""ลำพูน!I324"")"),10)</f>
        <v>10</v>
      </c>
      <c r="J429" s="392">
        <f ca="1">IFERROR(__xludf.DUMMYFUNCTION("IMPORTRANGE(""https://docs.google.com/spreadsheets/d/11923uPwbBZFjjGgGUA6NLw09EwE0CqkOc4q9oUmW1yo/edit?usp=sharing"",""ลำพูน!J324"")"),10)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IFERROR(__xludf.DUMMYFUNCTION("IMPORTRANGE(""https://docs.google.com/spreadsheets/d/11923uPwbBZFjjGgGUA6NLw09EwE0CqkOc4q9oUmW1yo/edit?usp=sharing"",""ลำพูน!I325"")"),45)</f>
        <v>45</v>
      </c>
      <c r="J430" s="390">
        <f ca="1">IFERROR(__xludf.DUMMYFUNCTION("IMPORTRANGE(""https://docs.google.com/spreadsheets/d/11923uPwbBZFjjGgGUA6NLw09EwE0CqkOc4q9oUmW1yo/edit?usp=sharing"",""ลำพูน!J325"")"),0)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IFERROR(__xludf.DUMMYFUNCTION("IMPORTRANGE(""https://docs.google.com/spreadsheets/d/11923uPwbBZFjjGgGUA6NLw09EwE0CqkOc4q9oUmW1yo/edit?usp=sharing"",""ลำพูน!I326"")"),10)</f>
        <v>10</v>
      </c>
      <c r="J431" s="392">
        <f ca="1">IFERROR(__xludf.DUMMYFUNCTION("IMPORTRANGE(""https://docs.google.com/spreadsheets/d/11923uPwbBZFjjGgGUA6NLw09EwE0CqkOc4q9oUmW1yo/edit?usp=sharing"",""ลำพูน!J326"")"),0)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IFERROR(__xludf.DUMMYFUNCTION("IMPORTRANGE(""https://docs.google.com/spreadsheets/d/11923uPwbBZFjjGgGUA6NLw09EwE0CqkOc4q9oUmW1yo/edit?usp=sharing"",""ลำพูน!I327"")"),35)</f>
        <v>35</v>
      </c>
      <c r="J432" s="392">
        <f ca="1">IFERROR(__xludf.DUMMYFUNCTION("IMPORTRANGE(""https://docs.google.com/spreadsheets/d/11923uPwbBZFjjGgGUA6NLw09EwE0CqkOc4q9oUmW1yo/edit?usp=sharing"",""ลำพูน!J327"")"),0)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IFERROR(__xludf.DUMMYFUNCTION("IMPORTRANGE(""https://docs.google.com/spreadsheets/d/11923uPwbBZFjjGgGUA6NLw09EwE0CqkOc4q9oUmW1yo/edit?usp=sharing"",""ลำพูน!J328"")"),0)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IFERROR(__xludf.DUMMYFUNCTION("IMPORTRANGE(""https://docs.google.com/spreadsheets/d/11923uPwbBZFjjGgGUA6NLw09EwE0CqkOc4q9oUmW1yo/edit?usp=sharing"",""ลำพูน!J329"")"),0)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IFERROR(__xludf.DUMMYFUNCTION("IMPORTRANGE(""https://docs.google.com/spreadsheets/d/11923uPwbBZFjjGgGUA6NLw09EwE0CqkOc4q9oUmW1yo/edit?usp=sharing"",""ลำพูน!I330"")"),20)</f>
        <v>20</v>
      </c>
      <c r="J435" s="408">
        <f ca="1">IFERROR(__xludf.DUMMYFUNCTION("IMPORTRANGE(""https://docs.google.com/spreadsheets/d/11923uPwbBZFjjGgGUA6NLw09EwE0CqkOc4q9oUmW1yo/edit?usp=sharing"",""ลำพูน!J330"")"),20)</f>
        <v>20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IFERROR(__xludf.DUMMYFUNCTION("IMPORTRANGE(""https://docs.google.com/spreadsheets/d/11923uPwbBZFjjGgGUA6NLw09EwE0CqkOc4q9oUmW1yo/edit?usp=sharing"",""ลำพูน!L330"")"),118000)</f>
        <v>118000</v>
      </c>
      <c r="M435" s="410"/>
      <c r="N435" s="410">
        <f ca="1">IFERROR(__xludf.DUMMYFUNCTION("IMPORTRANGE(""https://docs.google.com/spreadsheets/d/11923uPwbBZFjjGgGUA6NLw09EwE0CqkOc4q9oUmW1yo/edit?usp=sharing"",""ลำพูน!M330"")"),41220)</f>
        <v>41220</v>
      </c>
      <c r="O435" s="410">
        <f t="shared" ref="O435:O439" ca="1" si="114">+IF(L435&gt;0,N435*100/L435,0)</f>
        <v>34.932203389830505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IFERROR(__xludf.DUMMYFUNCTION("IMPORTRANGE(""https://docs.google.com/spreadsheets/d/11923uPwbBZFjjGgGUA6NLw09EwE0CqkOc4q9oUmW1yo/edit?usp=sharing"",""ลำพูน!L331"")"),0)</f>
        <v>0</v>
      </c>
      <c r="M436" s="164"/>
      <c r="N436" s="168">
        <f ca="1">IFERROR(__xludf.DUMMYFUNCTION("IMPORTRANGE(""https://docs.google.com/spreadsheets/d/11923uPwbBZFjjGgGUA6NLw09EwE0CqkOc4q9oUmW1yo/edit?usp=sharing"",""ลำพูน!M331"")"),0)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IFERROR(__xludf.DUMMYFUNCTION("IMPORTRANGE(""https://docs.google.com/spreadsheets/d/11923uPwbBZFjjGgGUA6NLw09EwE0CqkOc4q9oUmW1yo/edit?usp=sharing"",""ลำพูน!L332"")"),118000)</f>
        <v>118000</v>
      </c>
      <c r="M437" s="165"/>
      <c r="N437" s="168">
        <f ca="1">IFERROR(__xludf.DUMMYFUNCTION("IMPORTRANGE(""https://docs.google.com/spreadsheets/d/11923uPwbBZFjjGgGUA6NLw09EwE0CqkOc4q9oUmW1yo/edit?usp=sharing"",""ลำพูน!M332"")"),41220)</f>
        <v>41220</v>
      </c>
      <c r="O437" s="168">
        <f t="shared" ca="1" si="114"/>
        <v>34.932203389830505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IFERROR(__xludf.DUMMYFUNCTION("IMPORTRANGE(""https://docs.google.com/spreadsheets/d/11923uPwbBZFjjGgGUA6NLw09EwE0CqkOc4q9oUmW1yo/edit?usp=sharing"",""ลำพูน!L333"")"),0)</f>
        <v>0</v>
      </c>
      <c r="M438" s="168"/>
      <c r="N438" s="168">
        <f ca="1">IFERROR(__xludf.DUMMYFUNCTION("IMPORTRANGE(""https://docs.google.com/spreadsheets/d/11923uPwbBZFjjGgGUA6NLw09EwE0CqkOc4q9oUmW1yo/edit?usp=sharing"",""ลำพูน!M333"")"),0)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IFERROR(__xludf.DUMMYFUNCTION("IMPORTRANGE(""https://docs.google.com/spreadsheets/d/11923uPwbBZFjjGgGUA6NLw09EwE0CqkOc4q9oUmW1yo/edit?usp=sharing"",""ลำพูน!L334"")"),118000)</f>
        <v>118000</v>
      </c>
      <c r="M439" s="168"/>
      <c r="N439" s="168">
        <f ca="1">IFERROR(__xludf.DUMMYFUNCTION("IMPORTRANGE(""https://docs.google.com/spreadsheets/d/11923uPwbBZFjjGgGUA6NLw09EwE0CqkOc4q9oUmW1yo/edit?usp=sharing"",""ลำพูน!M334"")"),41220)</f>
        <v>41220</v>
      </c>
      <c r="O439" s="168">
        <f t="shared" ca="1" si="114"/>
        <v>34.932203389830505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IFERROR(__xludf.DUMMYFUNCTION("IMPORTRANGE(""https://docs.google.com/spreadsheets/d/11923uPwbBZFjjGgGUA6NLw09EwE0CqkOc4q9oUmW1yo/edit?usp=sharing"",""ลำพูน!M335"")"),41220)</f>
        <v>41220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IFERROR(__xludf.DUMMYFUNCTION("IMPORTRANGE(""https://docs.google.com/spreadsheets/d/11923uPwbBZFjjGgGUA6NLw09EwE0CqkOc4q9oUmW1yo/edit?usp=sharing"",""ลำพูน!M336"")"),0)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IFERROR(__xludf.DUMMYFUNCTION("IMPORTRANGE(""https://docs.google.com/spreadsheets/d/11923uPwbBZFjjGgGUA6NLw09EwE0CqkOc4q9oUmW1yo/edit?usp=sharing"",""ลำพูน!M337"")"),0)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IFERROR(__xludf.DUMMYFUNCTION("IMPORTRANGE(""https://docs.google.com/spreadsheets/d/11923uPwbBZFjjGgGUA6NLw09EwE0CqkOc4q9oUmW1yo/edit?usp=sharing"",""ลำพูน!M338"")"),0)</f>
        <v>0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IFERROR(__xludf.DUMMYFUNCTION("IMPORTRANGE(""https://docs.google.com/spreadsheets/d/11923uPwbBZFjjGgGUA6NLw09EwE0CqkOc4q9oUmW1yo/edit?usp=sharing"",""ลำพูน!J340"")"),0)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IFERROR(__xludf.DUMMYFUNCTION("IMPORTRANGE(""https://docs.google.com/spreadsheets/d/11923uPwbBZFjjGgGUA6NLw09EwE0CqkOc4q9oUmW1yo/edit?usp=sharing"",""ลำพูน!J341"")"),0)</f>
        <v>0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IFERROR(__xludf.DUMMYFUNCTION("IMPORTRANGE(""https://docs.google.com/spreadsheets/d/11923uPwbBZFjjGgGUA6NLw09EwE0CqkOc4q9oUmW1yo/edit?usp=sharing"",""ลำพูน!J342"")"),1)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IFERROR(__xludf.DUMMYFUNCTION("IMPORTRANGE(""https://docs.google.com/spreadsheets/d/11923uPwbBZFjjGgGUA6NLw09EwE0CqkOc4q9oUmW1yo/edit?usp=sharing"",""ลำพูน!J343"")"),1)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IFERROR(__xludf.DUMMYFUNCTION("IMPORTRANGE(""https://docs.google.com/spreadsheets/d/11923uPwbBZFjjGgGUA6NLw09EwE0CqkOc4q9oUmW1yo/edit?usp=sharing"",""ลำพูน!I344"")"),20)</f>
        <v>20</v>
      </c>
      <c r="J449" s="200">
        <f ca="1">IFERROR(__xludf.DUMMYFUNCTION("IMPORTRANGE(""https://docs.google.com/spreadsheets/d/11923uPwbBZFjjGgGUA6NLw09EwE0CqkOc4q9oUmW1yo/edit?usp=sharing"",""ลำพูน!J344"")"),20)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IFERROR(__xludf.DUMMYFUNCTION("IMPORTRANGE(""https://docs.google.com/spreadsheets/d/11923uPwbBZFjjGgGUA6NLw09EwE0CqkOc4q9oUmW1yo/edit?usp=sharing"",""ลำพูน!I345"")"),20)</f>
        <v>20</v>
      </c>
      <c r="J450" s="188">
        <f ca="1">IFERROR(__xludf.DUMMYFUNCTION("IMPORTRANGE(""https://docs.google.com/spreadsheets/d/11923uPwbBZFjjGgGUA6NLw09EwE0CqkOc4q9oUmW1yo/edit?usp=sharing"",""ลำพูน!J345"")"),20)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IFERROR(__xludf.DUMMYFUNCTION("IMPORTRANGE(""https://docs.google.com/spreadsheets/d/11923uPwbBZFjjGgGUA6NLw09EwE0CqkOc4q9oUmW1yo/edit?usp=sharing"",""ลำพูน!I346"")"),0)</f>
        <v>0</v>
      </c>
      <c r="J451" s="187">
        <f ca="1">IFERROR(__xludf.DUMMYFUNCTION("IMPORTRANGE(""https://docs.google.com/spreadsheets/d/11923uPwbBZFjjGgGUA6NLw09EwE0CqkOc4q9oUmW1yo/edit?usp=sharing"",""ลำพูน!J346"")"),0)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IFERROR(__xludf.DUMMYFUNCTION("IMPORTRANGE(""https://docs.google.com/spreadsheets/d/11923uPwbBZFjjGgGUA6NLw09EwE0CqkOc4q9oUmW1yo/edit?usp=sharing"",""ลำพูน!I347"")"),0)</f>
        <v>0</v>
      </c>
      <c r="J452" s="187">
        <f ca="1">IFERROR(__xludf.DUMMYFUNCTION("IMPORTRANGE(""https://docs.google.com/spreadsheets/d/11923uPwbBZFjjGgGUA6NLw09EwE0CqkOc4q9oUmW1yo/edit?usp=sharing"",""ลำพูน!J347"")"),0)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IFERROR(__xludf.DUMMYFUNCTION("IMPORTRANGE(""https://docs.google.com/spreadsheets/d/11923uPwbBZFjjGgGUA6NLw09EwE0CqkOc4q9oUmW1yo/edit?usp=sharing"",""ลำพูน!J348"")"),0)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IFERROR(__xludf.DUMMYFUNCTION("IMPORTRANGE(""https://docs.google.com/spreadsheets/d/11923uPwbBZFjjGgGUA6NLw09EwE0CqkOc4q9oUmW1yo/edit?usp=sharing"",""ลำพูน!J349"")"),0)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IFERROR(__xludf.DUMMYFUNCTION("IMPORTRANGE(""https://docs.google.com/spreadsheets/d/11923uPwbBZFjjGgGUA6NLw09EwE0CqkOc4q9oUmW1yo/edit?usp=sharing"",""ลำพูน!I350"")"),41345)</f>
        <v>41345</v>
      </c>
      <c r="J455" s="369">
        <f ca="1">IFERROR(__xludf.DUMMYFUNCTION("IMPORTRANGE(""https://docs.google.com/spreadsheets/d/11923uPwbBZFjjGgGUA6NLw09EwE0CqkOc4q9oUmW1yo/edit?usp=sharing"",""ลำพูน!J350"")"),0)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IFERROR(__xludf.DUMMYFUNCTION("IMPORTRANGE(""https://docs.google.com/spreadsheets/d/11923uPwbBZFjjGgGUA6NLw09EwE0CqkOc4q9oUmW1yo/edit?usp=sharing"",""ลำพูน!L350"")"),447250)</f>
        <v>447250</v>
      </c>
      <c r="M455" s="371"/>
      <c r="N455" s="371">
        <f ca="1">IFERROR(__xludf.DUMMYFUNCTION("IMPORTRANGE(""https://docs.google.com/spreadsheets/d/11923uPwbBZFjjGgGUA6NLw09EwE0CqkOc4q9oUmW1yo/edit?usp=sharing"",""ลำพูน!M350"")"),71789)</f>
        <v>71789</v>
      </c>
      <c r="O455" s="371">
        <f t="shared" ref="O455:O459" ca="1" si="116">+IF(L455&gt;0,N455*100/L455,0)</f>
        <v>16.051201788708777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IFERROR(__xludf.DUMMYFUNCTION("IMPORTRANGE(""https://docs.google.com/spreadsheets/d/11923uPwbBZFjjGgGUA6NLw09EwE0CqkOc4q9oUmW1yo/edit?usp=sharing"",""ลำพูน!L351"")"),0)</f>
        <v>0</v>
      </c>
      <c r="M456" s="164"/>
      <c r="N456" s="168">
        <f ca="1">IFERROR(__xludf.DUMMYFUNCTION("IMPORTRANGE(""https://docs.google.com/spreadsheets/d/11923uPwbBZFjjGgGUA6NLw09EwE0CqkOc4q9oUmW1yo/edit?usp=sharing"",""ลำพูน!M351"")"),0)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IFERROR(__xludf.DUMMYFUNCTION("IMPORTRANGE(""https://docs.google.com/spreadsheets/d/11923uPwbBZFjjGgGUA6NLw09EwE0CqkOc4q9oUmW1yo/edit?usp=sharing"",""ลำพูน!L352"")"),447250)</f>
        <v>447250</v>
      </c>
      <c r="M457" s="165"/>
      <c r="N457" s="168">
        <f ca="1">IFERROR(__xludf.DUMMYFUNCTION("IMPORTRANGE(""https://docs.google.com/spreadsheets/d/11923uPwbBZFjjGgGUA6NLw09EwE0CqkOc4q9oUmW1yo/edit?usp=sharing"",""ลำพูน!M352"")"),71789)</f>
        <v>71789</v>
      </c>
      <c r="O457" s="168">
        <f t="shared" ca="1" si="116"/>
        <v>16.051201788708777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IFERROR(__xludf.DUMMYFUNCTION("IMPORTRANGE(""https://docs.google.com/spreadsheets/d/11923uPwbBZFjjGgGUA6NLw09EwE0CqkOc4q9oUmW1yo/edit?usp=sharing"",""ลำพูน!L353"")"),0)</f>
        <v>0</v>
      </c>
      <c r="M458" s="168"/>
      <c r="N458" s="168">
        <f ca="1">IFERROR(__xludf.DUMMYFUNCTION("IMPORTRANGE(""https://docs.google.com/spreadsheets/d/11923uPwbBZFjjGgGUA6NLw09EwE0CqkOc4q9oUmW1yo/edit?usp=sharing"",""ลำพูน!M353"")"),0)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IFERROR(__xludf.DUMMYFUNCTION("IMPORTRANGE(""https://docs.google.com/spreadsheets/d/11923uPwbBZFjjGgGUA6NLw09EwE0CqkOc4q9oUmW1yo/edit?usp=sharing"",""ลำพูน!L354"")"),447250)</f>
        <v>447250</v>
      </c>
      <c r="M459" s="168"/>
      <c r="N459" s="168">
        <f ca="1">IFERROR(__xludf.DUMMYFUNCTION("IMPORTRANGE(""https://docs.google.com/spreadsheets/d/11923uPwbBZFjjGgGUA6NLw09EwE0CqkOc4q9oUmW1yo/edit?usp=sharing"",""ลำพูน!M354"")"),71789)</f>
        <v>71789</v>
      </c>
      <c r="O459" s="168">
        <f t="shared" ca="1" si="116"/>
        <v>16.051201788708777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IFERROR(__xludf.DUMMYFUNCTION("IMPORTRANGE(""https://docs.google.com/spreadsheets/d/11923uPwbBZFjjGgGUA6NLw09EwE0CqkOc4q9oUmW1yo/edit?usp=sharing"",""ลำพูน!M355"")"),0)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IFERROR(__xludf.DUMMYFUNCTION("IMPORTRANGE(""https://docs.google.com/spreadsheets/d/11923uPwbBZFjjGgGUA6NLw09EwE0CqkOc4q9oUmW1yo/edit?usp=sharing"",""ลำพูน!M356"")"),0)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IFERROR(__xludf.DUMMYFUNCTION("IMPORTRANGE(""https://docs.google.com/spreadsheets/d/11923uPwbBZFjjGgGUA6NLw09EwE0CqkOc4q9oUmW1yo/edit?usp=sharing"",""ลำพูน!M357"")"),46839)</f>
        <v>46839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IFERROR(__xludf.DUMMYFUNCTION("IMPORTRANGE(""https://docs.google.com/spreadsheets/d/11923uPwbBZFjjGgGUA6NLw09EwE0CqkOc4q9oUmW1yo/edit?usp=sharing"",""ลำพูน!M358"")"),24950)</f>
        <v>24950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IFERROR(__xludf.DUMMYFUNCTION("IMPORTRANGE(""https://docs.google.com/spreadsheets/d/11923uPwbBZFjjGgGUA6NLw09EwE0CqkOc4q9oUmW1yo/edit?usp=sharing"",""ลำพูน!I359"")"),41345)</f>
        <v>41345</v>
      </c>
      <c r="J464" s="266">
        <f ca="1">IFERROR(__xludf.DUMMYFUNCTION("IMPORTRANGE(""https://docs.google.com/spreadsheets/d/11923uPwbBZFjjGgGUA6NLw09EwE0CqkOc4q9oUmW1yo/edit?usp=sharing"",""ลำพูน!J359"")"),0)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IFERROR(__xludf.DUMMYFUNCTION("IMPORTRANGE(""https://docs.google.com/spreadsheets/d/11923uPwbBZFjjGgGUA6NLw09EwE0CqkOc4q9oUmW1yo/edit?usp=sharing"",""ลำพูน!I360"")"),41345)</f>
        <v>41345</v>
      </c>
      <c r="J465" s="418">
        <f ca="1">IFERROR(__xludf.DUMMYFUNCTION("IMPORTRANGE(""https://docs.google.com/spreadsheets/d/11923uPwbBZFjjGgGUA6NLw09EwE0CqkOc4q9oUmW1yo/edit?usp=sharing"",""ลำพูน!J360"")"),8257)</f>
        <v>8257</v>
      </c>
      <c r="K465" s="201">
        <f t="shared" ca="1" si="117"/>
        <v>19.970975934212117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IFERROR(__xludf.DUMMYFUNCTION("IMPORTRANGE(""https://docs.google.com/spreadsheets/d/11923uPwbBZFjjGgGUA6NLw09EwE0CqkOc4q9oUmW1yo/edit?usp=sharing"",""ลำพูน!I361"")"),6424)</f>
        <v>6424</v>
      </c>
      <c r="J466" s="418">
        <f ca="1">IFERROR(__xludf.DUMMYFUNCTION("IMPORTRANGE(""https://docs.google.com/spreadsheets/d/11923uPwbBZFjjGgGUA6NLw09EwE0CqkOc4q9oUmW1yo/edit?usp=sharing"",""ลำพูน!J361"")"),1331)</f>
        <v>1331</v>
      </c>
      <c r="K466" s="201">
        <f t="shared" ca="1" si="117"/>
        <v>20.719178082191782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IFERROR(__xludf.DUMMYFUNCTION("IMPORTRANGE(""https://docs.google.com/spreadsheets/d/11923uPwbBZFjjGgGUA6NLw09EwE0CqkOc4q9oUmW1yo/edit?usp=sharing"",""ลำพูน!I362"")"),0)</f>
        <v>0</v>
      </c>
      <c r="J467" s="188">
        <f ca="1">IFERROR(__xludf.DUMMYFUNCTION("IMPORTRANGE(""https://docs.google.com/spreadsheets/d/11923uPwbBZFjjGgGUA6NLw09EwE0CqkOc4q9oUmW1yo/edit?usp=sharing"",""ลำพูน!J362"")"),6094)</f>
        <v>6094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IFERROR(__xludf.DUMMYFUNCTION("IMPORTRANGE(""https://docs.google.com/spreadsheets/d/11923uPwbBZFjjGgGUA6NLw09EwE0CqkOc4q9oUmW1yo/edit?usp=sharing"",""ลำพูน!I363"")"),0)</f>
        <v>0</v>
      </c>
      <c r="J468" s="188">
        <f ca="1">IFERROR(__xludf.DUMMYFUNCTION("IMPORTRANGE(""https://docs.google.com/spreadsheets/d/11923uPwbBZFjjGgGUA6NLw09EwE0CqkOc4q9oUmW1yo/edit?usp=sharing"",""ลำพูน!J363"")"),1082)</f>
        <v>1082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IFERROR(__xludf.DUMMYFUNCTION("IMPORTRANGE(""https://docs.google.com/spreadsheets/d/11923uPwbBZFjjGgGUA6NLw09EwE0CqkOc4q9oUmW1yo/edit?usp=sharing"",""ลำพูน!I364"")"),0)</f>
        <v>0</v>
      </c>
      <c r="J469" s="188">
        <f ca="1">IFERROR(__xludf.DUMMYFUNCTION("IMPORTRANGE(""https://docs.google.com/spreadsheets/d/11923uPwbBZFjjGgGUA6NLw09EwE0CqkOc4q9oUmW1yo/edit?usp=sharing"",""ลำพูน!J364"")"),2076)</f>
        <v>2076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IFERROR(__xludf.DUMMYFUNCTION("IMPORTRANGE(""https://docs.google.com/spreadsheets/d/11923uPwbBZFjjGgGUA6NLw09EwE0CqkOc4q9oUmW1yo/edit?usp=sharing"",""ลำพูน!I365"")"),0)</f>
        <v>0</v>
      </c>
      <c r="J470" s="188">
        <f ca="1">IFERROR(__xludf.DUMMYFUNCTION("IMPORTRANGE(""https://docs.google.com/spreadsheets/d/11923uPwbBZFjjGgGUA6NLw09EwE0CqkOc4q9oUmW1yo/edit?usp=sharing"",""ลำพูน!J365"")"),227)</f>
        <v>227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IFERROR(__xludf.DUMMYFUNCTION("IMPORTRANGE(""https://docs.google.com/spreadsheets/d/11923uPwbBZFjjGgGUA6NLw09EwE0CqkOc4q9oUmW1yo/edit?usp=sharing"",""ลำพูน!I366"")"),0)</f>
        <v>0</v>
      </c>
      <c r="J471" s="188">
        <f ca="1">IFERROR(__xludf.DUMMYFUNCTION("IMPORTRANGE(""https://docs.google.com/spreadsheets/d/11923uPwbBZFjjGgGUA6NLw09EwE0CqkOc4q9oUmW1yo/edit?usp=sharing"",""ลำพูน!J366"")"),87)</f>
        <v>87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IFERROR(__xludf.DUMMYFUNCTION("IMPORTRANGE(""https://docs.google.com/spreadsheets/d/11923uPwbBZFjjGgGUA6NLw09EwE0CqkOc4q9oUmW1yo/edit?usp=sharing"",""ลำพูน!I367"")"),0)</f>
        <v>0</v>
      </c>
      <c r="J472" s="188">
        <f ca="1">IFERROR(__xludf.DUMMYFUNCTION("IMPORTRANGE(""https://docs.google.com/spreadsheets/d/11923uPwbBZFjjGgGUA6NLw09EwE0CqkOc4q9oUmW1yo/edit?usp=sharing"",""ลำพูน!J367"")"),22)</f>
        <v>22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IFERROR(__xludf.DUMMYFUNCTION("IMPORTRANGE(""https://docs.google.com/spreadsheets/d/11923uPwbBZFjjGgGUA6NLw09EwE0CqkOc4q9oUmW1yo/edit?usp=sharing"",""ลำพูน!I368"")"),41345)</f>
        <v>41345</v>
      </c>
      <c r="J473" s="418">
        <f ca="1">IFERROR(__xludf.DUMMYFUNCTION("IMPORTRANGE(""https://docs.google.com/spreadsheets/d/11923uPwbBZFjjGgGUA6NLw09EwE0CqkOc4q9oUmW1yo/edit?usp=sharing"",""ลำพูน!J368"")"),0)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IFERROR(__xludf.DUMMYFUNCTION("IMPORTRANGE(""https://docs.google.com/spreadsheets/d/11923uPwbBZFjjGgGUA6NLw09EwE0CqkOc4q9oUmW1yo/edit?usp=sharing"",""ลำพูน!I369"")"),6424)</f>
        <v>6424</v>
      </c>
      <c r="J474" s="418">
        <f ca="1">IFERROR(__xludf.DUMMYFUNCTION("IMPORTRANGE(""https://docs.google.com/spreadsheets/d/11923uPwbBZFjjGgGUA6NLw09EwE0CqkOc4q9oUmW1yo/edit?usp=sharing"",""ลำพูน!J369"")"),0)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IFERROR(__xludf.DUMMYFUNCTION("IMPORTRANGE(""https://docs.google.com/spreadsheets/d/11923uPwbBZFjjGgGUA6NLw09EwE0CqkOc4q9oUmW1yo/edit?usp=sharing"",""ลำพูน!I370"")"),0)</f>
        <v>0</v>
      </c>
      <c r="J475" s="188">
        <f ca="1">IFERROR(__xludf.DUMMYFUNCTION("IMPORTRANGE(""https://docs.google.com/spreadsheets/d/11923uPwbBZFjjGgGUA6NLw09EwE0CqkOc4q9oUmW1yo/edit?usp=sharing"",""ลำพูน!J370"")"),0)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IFERROR(__xludf.DUMMYFUNCTION("IMPORTRANGE(""https://docs.google.com/spreadsheets/d/11923uPwbBZFjjGgGUA6NLw09EwE0CqkOc4q9oUmW1yo/edit?usp=sharing"",""ลำพูน!I371"")"),0)</f>
        <v>0</v>
      </c>
      <c r="J476" s="188">
        <f ca="1">IFERROR(__xludf.DUMMYFUNCTION("IMPORTRANGE(""https://docs.google.com/spreadsheets/d/11923uPwbBZFjjGgGUA6NLw09EwE0CqkOc4q9oUmW1yo/edit?usp=sharing"",""ลำพูน!J371"")"),0)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IFERROR(__xludf.DUMMYFUNCTION("IMPORTRANGE(""https://docs.google.com/spreadsheets/d/11923uPwbBZFjjGgGUA6NLw09EwE0CqkOc4q9oUmW1yo/edit?usp=sharing"",""ลำพูน!I372"")"),0)</f>
        <v>0</v>
      </c>
      <c r="J477" s="188">
        <f ca="1">IFERROR(__xludf.DUMMYFUNCTION("IMPORTRANGE(""https://docs.google.com/spreadsheets/d/11923uPwbBZFjjGgGUA6NLw09EwE0CqkOc4q9oUmW1yo/edit?usp=sharing"",""ลำพูน!J372"")"),0)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IFERROR(__xludf.DUMMYFUNCTION("IMPORTRANGE(""https://docs.google.com/spreadsheets/d/11923uPwbBZFjjGgGUA6NLw09EwE0CqkOc4q9oUmW1yo/edit?usp=sharing"",""ลำพูน!I373"")"),0)</f>
        <v>0</v>
      </c>
      <c r="J478" s="188">
        <f ca="1">IFERROR(__xludf.DUMMYFUNCTION("IMPORTRANGE(""https://docs.google.com/spreadsheets/d/11923uPwbBZFjjGgGUA6NLw09EwE0CqkOc4q9oUmW1yo/edit?usp=sharing"",""ลำพูน!J373"")"),0)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IFERROR(__xludf.DUMMYFUNCTION("IMPORTRANGE(""https://docs.google.com/spreadsheets/d/11923uPwbBZFjjGgGUA6NLw09EwE0CqkOc4q9oUmW1yo/edit?usp=sharing"",""ลำพูน!I374"")"),0)</f>
        <v>0</v>
      </c>
      <c r="J479" s="188">
        <f ca="1">IFERROR(__xludf.DUMMYFUNCTION("IMPORTRANGE(""https://docs.google.com/spreadsheets/d/11923uPwbBZFjjGgGUA6NLw09EwE0CqkOc4q9oUmW1yo/edit?usp=sharing"",""ลำพูน!J374"")"),0)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IFERROR(__xludf.DUMMYFUNCTION("IMPORTRANGE(""https://docs.google.com/spreadsheets/d/11923uPwbBZFjjGgGUA6NLw09EwE0CqkOc4q9oUmW1yo/edit?usp=sharing"",""ลำพูน!I375"")"),0)</f>
        <v>0</v>
      </c>
      <c r="J480" s="188">
        <f ca="1">IFERROR(__xludf.DUMMYFUNCTION("IMPORTRANGE(""https://docs.google.com/spreadsheets/d/11923uPwbBZFjjGgGUA6NLw09EwE0CqkOc4q9oUmW1yo/edit?usp=sharing"",""ลำพูน!J375"")"),0)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IFERROR(__xludf.DUMMYFUNCTION("IMPORTRANGE(""https://docs.google.com/spreadsheets/d/11923uPwbBZFjjGgGUA6NLw09EwE0CqkOc4q9oUmW1yo/edit?usp=sharing"",""ลำพูน!I376"")"),41345)</f>
        <v>41345</v>
      </c>
      <c r="J481" s="418">
        <f ca="1">IFERROR(__xludf.DUMMYFUNCTION("IMPORTRANGE(""https://docs.google.com/spreadsheets/d/11923uPwbBZFjjGgGUA6NLw09EwE0CqkOc4q9oUmW1yo/edit?usp=sharing"",""ลำพูน!J376"")"),0)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IFERROR(__xludf.DUMMYFUNCTION("IMPORTRANGE(""https://docs.google.com/spreadsheets/d/11923uPwbBZFjjGgGUA6NLw09EwE0CqkOc4q9oUmW1yo/edit?usp=sharing"",""ลำพูน!I377"")"),6424)</f>
        <v>6424</v>
      </c>
      <c r="J482" s="418">
        <f ca="1">IFERROR(__xludf.DUMMYFUNCTION("IMPORTRANGE(""https://docs.google.com/spreadsheets/d/11923uPwbBZFjjGgGUA6NLw09EwE0CqkOc4q9oUmW1yo/edit?usp=sharing"",""ลำพูน!J377"")"),0)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IFERROR(__xludf.DUMMYFUNCTION("IMPORTRANGE(""https://docs.google.com/spreadsheets/d/11923uPwbBZFjjGgGUA6NLw09EwE0CqkOc4q9oUmW1yo/edit?usp=sharing"",""ลำพูน!I378"")"),0)</f>
        <v>0</v>
      </c>
      <c r="J483" s="188">
        <f ca="1">IFERROR(__xludf.DUMMYFUNCTION("IMPORTRANGE(""https://docs.google.com/spreadsheets/d/11923uPwbBZFjjGgGUA6NLw09EwE0CqkOc4q9oUmW1yo/edit?usp=sharing"",""ลำพูน!J378"")"),0)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IFERROR(__xludf.DUMMYFUNCTION("IMPORTRANGE(""https://docs.google.com/spreadsheets/d/11923uPwbBZFjjGgGUA6NLw09EwE0CqkOc4q9oUmW1yo/edit?usp=sharing"",""ลำพูน!I379"")"),0)</f>
        <v>0</v>
      </c>
      <c r="J484" s="188">
        <f ca="1">IFERROR(__xludf.DUMMYFUNCTION("IMPORTRANGE(""https://docs.google.com/spreadsheets/d/11923uPwbBZFjjGgGUA6NLw09EwE0CqkOc4q9oUmW1yo/edit?usp=sharing"",""ลำพูน!J379"")"),0)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IFERROR(__xludf.DUMMYFUNCTION("IMPORTRANGE(""https://docs.google.com/spreadsheets/d/11923uPwbBZFjjGgGUA6NLw09EwE0CqkOc4q9oUmW1yo/edit?usp=sharing"",""ลำพูน!I380"")"),0)</f>
        <v>0</v>
      </c>
      <c r="J485" s="188">
        <f ca="1">IFERROR(__xludf.DUMMYFUNCTION("IMPORTRANGE(""https://docs.google.com/spreadsheets/d/11923uPwbBZFjjGgGUA6NLw09EwE0CqkOc4q9oUmW1yo/edit?usp=sharing"",""ลำพูน!J380"")"),0)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IFERROR(__xludf.DUMMYFUNCTION("IMPORTRANGE(""https://docs.google.com/spreadsheets/d/11923uPwbBZFjjGgGUA6NLw09EwE0CqkOc4q9oUmW1yo/edit?usp=sharing"",""ลำพูน!I381"")"),0)</f>
        <v>0</v>
      </c>
      <c r="J486" s="188">
        <f ca="1">IFERROR(__xludf.DUMMYFUNCTION("IMPORTRANGE(""https://docs.google.com/spreadsheets/d/11923uPwbBZFjjGgGUA6NLw09EwE0CqkOc4q9oUmW1yo/edit?usp=sharing"",""ลำพูน!J381"")"),0)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IFERROR(__xludf.DUMMYFUNCTION("IMPORTRANGE(""https://docs.google.com/spreadsheets/d/11923uPwbBZFjjGgGUA6NLw09EwE0CqkOc4q9oUmW1yo/edit?usp=sharing"",""ลำพูน!I382"")"),0)</f>
        <v>0</v>
      </c>
      <c r="J487" s="418">
        <f ca="1">IFERROR(__xludf.DUMMYFUNCTION("IMPORTRANGE(""https://docs.google.com/spreadsheets/d/11923uPwbBZFjjGgGUA6NLw09EwE0CqkOc4q9oUmW1yo/edit?usp=sharing"",""ลำพูน!J382"")"),0)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IFERROR(__xludf.DUMMYFUNCTION("IMPORTRANGE(""https://docs.google.com/spreadsheets/d/11923uPwbBZFjjGgGUA6NLw09EwE0CqkOc4q9oUmW1yo/edit?usp=sharing"",""ลำพูน!I383"")"),0)</f>
        <v>0</v>
      </c>
      <c r="J488" s="418">
        <f ca="1">IFERROR(__xludf.DUMMYFUNCTION("IMPORTRANGE(""https://docs.google.com/spreadsheets/d/11923uPwbBZFjjGgGUA6NLw09EwE0CqkOc4q9oUmW1yo/edit?usp=sharing"",""ลำพูน!J383"")"),0)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IFERROR(__xludf.DUMMYFUNCTION("IMPORTRANGE(""https://docs.google.com/spreadsheets/d/11923uPwbBZFjjGgGUA6NLw09EwE0CqkOc4q9oUmW1yo/edit?usp=sharing"",""ลำพูน!I384"")"),0)</f>
        <v>0</v>
      </c>
      <c r="J489" s="188">
        <f ca="1">IFERROR(__xludf.DUMMYFUNCTION("IMPORTRANGE(""https://docs.google.com/spreadsheets/d/11923uPwbBZFjjGgGUA6NLw09EwE0CqkOc4q9oUmW1yo/edit?usp=sharing"",""ลำพูน!J384"")"),0)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IFERROR(__xludf.DUMMYFUNCTION("IMPORTRANGE(""https://docs.google.com/spreadsheets/d/11923uPwbBZFjjGgGUA6NLw09EwE0CqkOc4q9oUmW1yo/edit?usp=sharing"",""ลำพูน!I385"")"),0)</f>
        <v>0</v>
      </c>
      <c r="J490" s="188">
        <f ca="1">IFERROR(__xludf.DUMMYFUNCTION("IMPORTRANGE(""https://docs.google.com/spreadsheets/d/11923uPwbBZFjjGgGUA6NLw09EwE0CqkOc4q9oUmW1yo/edit?usp=sharing"",""ลำพูน!J385"")"),0)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IFERROR(__xludf.DUMMYFUNCTION("IMPORTRANGE(""https://docs.google.com/spreadsheets/d/11923uPwbBZFjjGgGUA6NLw09EwE0CqkOc4q9oUmW1yo/edit?usp=sharing"",""ลำพูน!I386"")"),0)</f>
        <v>0</v>
      </c>
      <c r="J491" s="188">
        <f ca="1">IFERROR(__xludf.DUMMYFUNCTION("IMPORTRANGE(""https://docs.google.com/spreadsheets/d/11923uPwbBZFjjGgGUA6NLw09EwE0CqkOc4q9oUmW1yo/edit?usp=sharing"",""ลำพูน!J386"")"),0)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IFERROR(__xludf.DUMMYFUNCTION("IMPORTRANGE(""https://docs.google.com/spreadsheets/d/11923uPwbBZFjjGgGUA6NLw09EwE0CqkOc4q9oUmW1yo/edit?usp=sharing"",""ลำพูน!I387"")"),0)</f>
        <v>0</v>
      </c>
      <c r="J492" s="188">
        <f ca="1">IFERROR(__xludf.DUMMYFUNCTION("IMPORTRANGE(""https://docs.google.com/spreadsheets/d/11923uPwbBZFjjGgGUA6NLw09EwE0CqkOc4q9oUmW1yo/edit?usp=sharing"",""ลำพูน!J387"")"),0)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IFERROR(__xludf.DUMMYFUNCTION("IMPORTRANGE(""https://docs.google.com/spreadsheets/d/11923uPwbBZFjjGgGUA6NLw09EwE0CqkOc4q9oUmW1yo/edit?usp=sharing"",""ลำพูน!I388"")"),0)</f>
        <v>0</v>
      </c>
      <c r="J493" s="188">
        <f ca="1">IFERROR(__xludf.DUMMYFUNCTION("IMPORTRANGE(""https://docs.google.com/spreadsheets/d/11923uPwbBZFjjGgGUA6NLw09EwE0CqkOc4q9oUmW1yo/edit?usp=sharing"",""ลำพูน!J388"")"),0)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IFERROR(__xludf.DUMMYFUNCTION("IMPORTRANGE(""https://docs.google.com/spreadsheets/d/11923uPwbBZFjjGgGUA6NLw09EwE0CqkOc4q9oUmW1yo/edit?usp=sharing"",""ลำพูน!I389"")"),0)</f>
        <v>0</v>
      </c>
      <c r="J494" s="434">
        <f ca="1">IFERROR(__xludf.DUMMYFUNCTION("IMPORTRANGE(""https://docs.google.com/spreadsheets/d/11923uPwbBZFjjGgGUA6NLw09EwE0CqkOc4q9oUmW1yo/edit?usp=sharing"",""ลำพูน!J389"")"),0)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IFERROR(__xludf.DUMMYFUNCTION("IMPORTRANGE(""https://docs.google.com/spreadsheets/d/11923uPwbBZFjjGgGUA6NLw09EwE0CqkOc4q9oUmW1yo/edit?usp=sharing"",""ลำพูน!I390"")"),0)</f>
        <v>0</v>
      </c>
      <c r="J495" s="434">
        <f ca="1">IFERROR(__xludf.DUMMYFUNCTION("IMPORTRANGE(""https://docs.google.com/spreadsheets/d/11923uPwbBZFjjGgGUA6NLw09EwE0CqkOc4q9oUmW1yo/edit?usp=sharing"",""ลำพูน!J390"")"),0)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IFERROR(__xludf.DUMMYFUNCTION("IMPORTRANGE(""https://docs.google.com/spreadsheets/d/11923uPwbBZFjjGgGUA6NLw09EwE0CqkOc4q9oUmW1yo/edit?usp=sharing"",""ลำพูน!I391"")"),0)</f>
        <v>0</v>
      </c>
      <c r="J496" s="434">
        <f ca="1">IFERROR(__xludf.DUMMYFUNCTION("IMPORTRANGE(""https://docs.google.com/spreadsheets/d/11923uPwbBZFjjGgGUA6NLw09EwE0CqkOc4q9oUmW1yo/edit?usp=sharing"",""ลำพูน!J391"")"),0)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IFERROR(__xludf.DUMMYFUNCTION("IMPORTRANGE(""https://docs.google.com/spreadsheets/d/11923uPwbBZFjjGgGUA6NLw09EwE0CqkOc4q9oUmW1yo/edit?usp=sharing"",""ลำพูน!I392"")"),138)</f>
        <v>138</v>
      </c>
      <c r="J497" s="441">
        <f ca="1">IFERROR(__xludf.DUMMYFUNCTION("IMPORTRANGE(""https://docs.google.com/spreadsheets/d/11923uPwbBZFjjGgGUA6NLw09EwE0CqkOc4q9oUmW1yo/edit?usp=sharing"",""ลำพูน!J392"")"),0)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IFERROR(__xludf.DUMMYFUNCTION("IMPORTRANGE(""https://docs.google.com/spreadsheets/d/11923uPwbBZFjjGgGUA6NLw09EwE0CqkOc4q9oUmW1yo/edit?usp=sharing"",""ลำพูน!I393"")"),138)</f>
        <v>138</v>
      </c>
      <c r="J498" s="418">
        <f ca="1">IFERROR(__xludf.DUMMYFUNCTION("IMPORTRANGE(""https://docs.google.com/spreadsheets/d/11923uPwbBZFjjGgGUA6NLw09EwE0CqkOc4q9oUmW1yo/edit?usp=sharing"",""ลำพูน!J393"")"),0)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IFERROR(__xludf.DUMMYFUNCTION("IMPORTRANGE(""https://docs.google.com/spreadsheets/d/11923uPwbBZFjjGgGUA6NLw09EwE0CqkOc4q9oUmW1yo/edit?usp=sharing"",""ลำพูน!I394"")"),17)</f>
        <v>17</v>
      </c>
      <c r="J499" s="418">
        <f ca="1">IFERROR(__xludf.DUMMYFUNCTION("IMPORTRANGE(""https://docs.google.com/spreadsheets/d/11923uPwbBZFjjGgGUA6NLw09EwE0CqkOc4q9oUmW1yo/edit?usp=sharing"",""ลำพูน!J394"")"),0)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IFERROR(__xludf.DUMMYFUNCTION("IMPORTRANGE(""https://docs.google.com/spreadsheets/d/11923uPwbBZFjjGgGUA6NLw09EwE0CqkOc4q9oUmW1yo/edit?usp=sharing"",""ลำพูน!I395"")"),0)</f>
        <v>0</v>
      </c>
      <c r="J500" s="162">
        <f ca="1">IFERROR(__xludf.DUMMYFUNCTION("IMPORTRANGE(""https://docs.google.com/spreadsheets/d/11923uPwbBZFjjGgGUA6NLw09EwE0CqkOc4q9oUmW1yo/edit?usp=sharing"",""ลำพูน!J395"")"),0)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IFERROR(__xludf.DUMMYFUNCTION("IMPORTRANGE(""https://docs.google.com/spreadsheets/d/11923uPwbBZFjjGgGUA6NLw09EwE0CqkOc4q9oUmW1yo/edit?usp=sharing"",""ลำพูน!I396"")"),0)</f>
        <v>0</v>
      </c>
      <c r="J501" s="162">
        <f ca="1">IFERROR(__xludf.DUMMYFUNCTION("IMPORTRANGE(""https://docs.google.com/spreadsheets/d/11923uPwbBZFjjGgGUA6NLw09EwE0CqkOc4q9oUmW1yo/edit?usp=sharing"",""ลำพูน!J396"")"),0)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IFERROR(__xludf.DUMMYFUNCTION("IMPORTRANGE(""https://docs.google.com/spreadsheets/d/11923uPwbBZFjjGgGUA6NLw09EwE0CqkOc4q9oUmW1yo/edit?usp=sharing"",""ลำพูน!I397"")"),0)</f>
        <v>0</v>
      </c>
      <c r="J502" s="188">
        <f ca="1">IFERROR(__xludf.DUMMYFUNCTION("IMPORTRANGE(""https://docs.google.com/spreadsheets/d/11923uPwbBZFjjGgGUA6NLw09EwE0CqkOc4q9oUmW1yo/edit?usp=sharing"",""ลำพูน!J397"")"),0)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IFERROR(__xludf.DUMMYFUNCTION("IMPORTRANGE(""https://docs.google.com/spreadsheets/d/11923uPwbBZFjjGgGUA6NLw09EwE0CqkOc4q9oUmW1yo/edit?usp=sharing"",""ลำพูน!I398"")"),0)</f>
        <v>0</v>
      </c>
      <c r="J503" s="197">
        <f ca="1">IFERROR(__xludf.DUMMYFUNCTION("IMPORTRANGE(""https://docs.google.com/spreadsheets/d/11923uPwbBZFjjGgGUA6NLw09EwE0CqkOc4q9oUmW1yo/edit?usp=sharing"",""ลำพูน!J398"")"),0)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IFERROR(__xludf.DUMMYFUNCTION("IMPORTRANGE(""https://docs.google.com/spreadsheets/d/11923uPwbBZFjjGgGUA6NLw09EwE0CqkOc4q9oUmW1yo/edit?usp=sharing"",""ลำพูน!I399"")"),0)</f>
        <v>0</v>
      </c>
      <c r="J504" s="188">
        <f ca="1">IFERROR(__xludf.DUMMYFUNCTION("IMPORTRANGE(""https://docs.google.com/spreadsheets/d/11923uPwbBZFjjGgGUA6NLw09EwE0CqkOc4q9oUmW1yo/edit?usp=sharing"",""ลำพูน!J399"")"),0)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IFERROR(__xludf.DUMMYFUNCTION("IMPORTRANGE(""https://docs.google.com/spreadsheets/d/11923uPwbBZFjjGgGUA6NLw09EwE0CqkOc4q9oUmW1yo/edit?usp=sharing"",""ลำพูน!I400"")"),0)</f>
        <v>0</v>
      </c>
      <c r="J505" s="197">
        <f ca="1">IFERROR(__xludf.DUMMYFUNCTION("IMPORTRANGE(""https://docs.google.com/spreadsheets/d/11923uPwbBZFjjGgGUA6NLw09EwE0CqkOc4q9oUmW1yo/edit?usp=sharing"",""ลำพูน!J400"")"),0)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IFERROR(__xludf.DUMMYFUNCTION("IMPORTRANGE(""https://docs.google.com/spreadsheets/d/11923uPwbBZFjjGgGUA6NLw09EwE0CqkOc4q9oUmW1yo/edit?usp=sharing"",""ลำพูน!I401"")"),0)</f>
        <v>0</v>
      </c>
      <c r="J506" s="188">
        <f ca="1">IFERROR(__xludf.DUMMYFUNCTION("IMPORTRANGE(""https://docs.google.com/spreadsheets/d/11923uPwbBZFjjGgGUA6NLw09EwE0CqkOc4q9oUmW1yo/edit?usp=sharing"",""ลำพูน!J401"")"),0)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IFERROR(__xludf.DUMMYFUNCTION("IMPORTRANGE(""https://docs.google.com/spreadsheets/d/11923uPwbBZFjjGgGUA6NLw09EwE0CqkOc4q9oUmW1yo/edit?usp=sharing"",""ลำพูน!I402"")"),0)</f>
        <v>0</v>
      </c>
      <c r="J507" s="197">
        <f ca="1">IFERROR(__xludf.DUMMYFUNCTION("IMPORTRANGE(""https://docs.google.com/spreadsheets/d/11923uPwbBZFjjGgGUA6NLw09EwE0CqkOc4q9oUmW1yo/edit?usp=sharing"",""ลำพูน!J402"")"),0)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IFERROR(__xludf.DUMMYFUNCTION("IMPORTRANGE(""https://docs.google.com/spreadsheets/d/11923uPwbBZFjjGgGUA6NLw09EwE0CqkOc4q9oUmW1yo/edit?usp=sharing"",""ลำพูน!I403"")"),0)</f>
        <v>0</v>
      </c>
      <c r="J508" s="162">
        <f ca="1">IFERROR(__xludf.DUMMYFUNCTION("IMPORTRANGE(""https://docs.google.com/spreadsheets/d/11923uPwbBZFjjGgGUA6NLw09EwE0CqkOc4q9oUmW1yo/edit?usp=sharing"",""ลำพูน!J403"")"),0)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IFERROR(__xludf.DUMMYFUNCTION("IMPORTRANGE(""https://docs.google.com/spreadsheets/d/11923uPwbBZFjjGgGUA6NLw09EwE0CqkOc4q9oUmW1yo/edit?usp=sharing"",""ลำพูน!I404"")"),0)</f>
        <v>0</v>
      </c>
      <c r="J509" s="162">
        <f ca="1">IFERROR(__xludf.DUMMYFUNCTION("IMPORTRANGE(""https://docs.google.com/spreadsheets/d/11923uPwbBZFjjGgGUA6NLw09EwE0CqkOc4q9oUmW1yo/edit?usp=sharing"",""ลำพูน!J404"")"),0)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IFERROR(__xludf.DUMMYFUNCTION("IMPORTRANGE(""https://docs.google.com/spreadsheets/d/11923uPwbBZFjjGgGUA6NLw09EwE0CqkOc4q9oUmW1yo/edit?usp=sharing"",""ลำพูน!I405"")"),0)</f>
        <v>0</v>
      </c>
      <c r="J510" s="197">
        <f ca="1">IFERROR(__xludf.DUMMYFUNCTION("IMPORTRANGE(""https://docs.google.com/spreadsheets/d/11923uPwbBZFjjGgGUA6NLw09EwE0CqkOc4q9oUmW1yo/edit?usp=sharing"",""ลำพูน!J405"")"),0)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IFERROR(__xludf.DUMMYFUNCTION("IMPORTRANGE(""https://docs.google.com/spreadsheets/d/11923uPwbBZFjjGgGUA6NLw09EwE0CqkOc4q9oUmW1yo/edit?usp=sharing"",""ลำพูน!I406"")"),0)</f>
        <v>0</v>
      </c>
      <c r="J511" s="197">
        <f ca="1">IFERROR(__xludf.DUMMYFUNCTION("IMPORTRANGE(""https://docs.google.com/spreadsheets/d/11923uPwbBZFjjGgGUA6NLw09EwE0CqkOc4q9oUmW1yo/edit?usp=sharing"",""ลำพูน!J406"")"),0)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IFERROR(__xludf.DUMMYFUNCTION("IMPORTRANGE(""https://docs.google.com/spreadsheets/d/11923uPwbBZFjjGgGUA6NLw09EwE0CqkOc4q9oUmW1yo/edit?usp=sharing"",""ลำพูน!I407"")"),0)</f>
        <v>0</v>
      </c>
      <c r="J512" s="197">
        <f ca="1">IFERROR(__xludf.DUMMYFUNCTION("IMPORTRANGE(""https://docs.google.com/spreadsheets/d/11923uPwbBZFjjGgGUA6NLw09EwE0CqkOc4q9oUmW1yo/edit?usp=sharing"",""ลำพูน!J407"")"),0)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IFERROR(__xludf.DUMMYFUNCTION("IMPORTRANGE(""https://docs.google.com/spreadsheets/d/11923uPwbBZFjjGgGUA6NLw09EwE0CqkOc4q9oUmW1yo/edit?usp=sharing"",""ลำพูน!I408"")"),0)</f>
        <v>0</v>
      </c>
      <c r="J513" s="197">
        <f ca="1">IFERROR(__xludf.DUMMYFUNCTION("IMPORTRANGE(""https://docs.google.com/spreadsheets/d/11923uPwbBZFjjGgGUA6NLw09EwE0CqkOc4q9oUmW1yo/edit?usp=sharing"",""ลำพูน!J408"")"),0)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IFERROR(__xludf.DUMMYFUNCTION("IMPORTRANGE(""https://docs.google.com/spreadsheets/d/11923uPwbBZFjjGgGUA6NLw09EwE0CqkOc4q9oUmW1yo/edit?usp=sharing"",""ลำพูน!I409"")"),0)</f>
        <v>0</v>
      </c>
      <c r="J514" s="197">
        <f ca="1">IFERROR(__xludf.DUMMYFUNCTION("IMPORTRANGE(""https://docs.google.com/spreadsheets/d/11923uPwbBZFjjGgGUA6NLw09EwE0CqkOc4q9oUmW1yo/edit?usp=sharing"",""ลำพูน!J409"")"),0)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IFERROR(__xludf.DUMMYFUNCTION("IMPORTRANGE(""https://docs.google.com/spreadsheets/d/11923uPwbBZFjjGgGUA6NLw09EwE0CqkOc4q9oUmW1yo/edit?usp=sharing"",""ลำพูน!I410"")"),0)</f>
        <v>0</v>
      </c>
      <c r="J515" s="197">
        <f ca="1">IFERROR(__xludf.DUMMYFUNCTION("IMPORTRANGE(""https://docs.google.com/spreadsheets/d/11923uPwbBZFjjGgGUA6NLw09EwE0CqkOc4q9oUmW1yo/edit?usp=sharing"",""ลำพูน!J410"")"),0)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IFERROR(__xludf.DUMMYFUNCTION("IMPORTRANGE(""https://docs.google.com/spreadsheets/d/11923uPwbBZFjjGgGUA6NLw09EwE0CqkOc4q9oUmW1yo/edit?usp=sharing"",""ลำพูน!I411"")"),0)</f>
        <v>0</v>
      </c>
      <c r="J516" s="266">
        <f ca="1">IFERROR(__xludf.DUMMYFUNCTION("IMPORTRANGE(""https://docs.google.com/spreadsheets/d/11923uPwbBZFjjGgGUA6NLw09EwE0CqkOc4q9oUmW1yo/edit?usp=sharing"",""ลำพูน!J411"")"),0)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IFERROR(__xludf.DUMMYFUNCTION("IMPORTRANGE(""https://docs.google.com/spreadsheets/d/11923uPwbBZFjjGgGUA6NLw09EwE0CqkOc4q9oUmW1yo/edit?usp=sharing"",""ลำพูน!I412"")"),0)</f>
        <v>0</v>
      </c>
      <c r="J517" s="282">
        <f ca="1">IFERROR(__xludf.DUMMYFUNCTION("IMPORTRANGE(""https://docs.google.com/spreadsheets/d/11923uPwbBZFjjGgGUA6NLw09EwE0CqkOc4q9oUmW1yo/edit?usp=sharing"",""ลำพูน!J412"")"),0)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IFERROR(__xludf.DUMMYFUNCTION("IMPORTRANGE(""https://docs.google.com/spreadsheets/d/11923uPwbBZFjjGgGUA6NLw09EwE0CqkOc4q9oUmW1yo/edit?usp=sharing"",""ลำพูน!I413"")"),0)</f>
        <v>0</v>
      </c>
      <c r="J518" s="282">
        <f ca="1">IFERROR(__xludf.DUMMYFUNCTION("IMPORTRANGE(""https://docs.google.com/spreadsheets/d/11923uPwbBZFjjGgGUA6NLw09EwE0CqkOc4q9oUmW1yo/edit?usp=sharing"",""ลำพูน!J413"")"),0)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IFERROR(__xludf.DUMMYFUNCTION("IMPORTRANGE(""https://docs.google.com/spreadsheets/d/11923uPwbBZFjjGgGUA6NLw09EwE0CqkOc4q9oUmW1yo/edit?usp=sharing"",""ลำพูน!I414"")"),0)</f>
        <v>0</v>
      </c>
      <c r="J519" s="187">
        <f ca="1">IFERROR(__xludf.DUMMYFUNCTION("IMPORTRANGE(""https://docs.google.com/spreadsheets/d/11923uPwbBZFjjGgGUA6NLw09EwE0CqkOc4q9oUmW1yo/edit?usp=sharing"",""ลำพูน!J414"")"),0)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IFERROR(__xludf.DUMMYFUNCTION("IMPORTRANGE(""https://docs.google.com/spreadsheets/d/11923uPwbBZFjjGgGUA6NLw09EwE0CqkOc4q9oUmW1yo/edit?usp=sharing"",""ลำพูน!I415"")"),0)</f>
        <v>0</v>
      </c>
      <c r="J520" s="187">
        <f ca="1">IFERROR(__xludf.DUMMYFUNCTION("IMPORTRANGE(""https://docs.google.com/spreadsheets/d/11923uPwbBZFjjGgGUA6NLw09EwE0CqkOc4q9oUmW1yo/edit?usp=sharing"",""ลำพูน!J415"")"),0)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IFERROR(__xludf.DUMMYFUNCTION("IMPORTRANGE(""https://docs.google.com/spreadsheets/d/11923uPwbBZFjjGgGUA6NLw09EwE0CqkOc4q9oUmW1yo/edit?usp=sharing"",""ลำพูน!I416"")"),0)</f>
        <v>0</v>
      </c>
      <c r="J521" s="187">
        <f ca="1">IFERROR(__xludf.DUMMYFUNCTION("IMPORTRANGE(""https://docs.google.com/spreadsheets/d/11923uPwbBZFjjGgGUA6NLw09EwE0CqkOc4q9oUmW1yo/edit?usp=sharing"",""ลำพูน!J416"")"),0)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IFERROR(__xludf.DUMMYFUNCTION("IMPORTRANGE(""https://docs.google.com/spreadsheets/d/11923uPwbBZFjjGgGUA6NLw09EwE0CqkOc4q9oUmW1yo/edit?usp=sharing"",""ลำพูน!I417"")"),0)</f>
        <v>0</v>
      </c>
      <c r="J522" s="187">
        <f ca="1">IFERROR(__xludf.DUMMYFUNCTION("IMPORTRANGE(""https://docs.google.com/spreadsheets/d/11923uPwbBZFjjGgGUA6NLw09EwE0CqkOc4q9oUmW1yo/edit?usp=sharing"",""ลำพูน!J417"")"),0)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IFERROR(__xludf.DUMMYFUNCTION("IMPORTRANGE(""https://docs.google.com/spreadsheets/d/11923uPwbBZFjjGgGUA6NLw09EwE0CqkOc4q9oUmW1yo/edit?usp=sharing"",""ลำพูน!I418"")"),0)</f>
        <v>0</v>
      </c>
      <c r="J523" s="187">
        <f ca="1">IFERROR(__xludf.DUMMYFUNCTION("IMPORTRANGE(""https://docs.google.com/spreadsheets/d/11923uPwbBZFjjGgGUA6NLw09EwE0CqkOc4q9oUmW1yo/edit?usp=sharing"",""ลำพูน!J418"")"),157)</f>
        <v>157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IFERROR(__xludf.DUMMYFUNCTION("IMPORTRANGE(""https://docs.google.com/spreadsheets/d/11923uPwbBZFjjGgGUA6NLw09EwE0CqkOc4q9oUmW1yo/edit?usp=sharing"",""ลำพูน!I419"")"),0)</f>
        <v>0</v>
      </c>
      <c r="J524" s="187">
        <f ca="1">IFERROR(__xludf.DUMMYFUNCTION("IMPORTRANGE(""https://docs.google.com/spreadsheets/d/11923uPwbBZFjjGgGUA6NLw09EwE0CqkOc4q9oUmW1yo/edit?usp=sharing"",""ลำพูน!J419"")"),18)</f>
        <v>18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IFERROR(__xludf.DUMMYFUNCTION("IMPORTRANGE(""https://docs.google.com/spreadsheets/d/11923uPwbBZFjjGgGUA6NLw09EwE0CqkOc4q9oUmW1yo/edit?usp=sharing"",""ลำพูน!I420"")"),157)</f>
        <v>157</v>
      </c>
      <c r="J525" s="282">
        <f ca="1">IFERROR(__xludf.DUMMYFUNCTION("IMPORTRANGE(""https://docs.google.com/spreadsheets/d/11923uPwbBZFjjGgGUA6NLw09EwE0CqkOc4q9oUmW1yo/edit?usp=sharing"",""ลำพูน!J420"")"),0)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IFERROR(__xludf.DUMMYFUNCTION("IMPORTRANGE(""https://docs.google.com/spreadsheets/d/11923uPwbBZFjjGgGUA6NLw09EwE0CqkOc4q9oUmW1yo/edit?usp=sharing"",""ลำพูน!I421"")"),18)</f>
        <v>18</v>
      </c>
      <c r="J526" s="282">
        <f ca="1">IFERROR(__xludf.DUMMYFUNCTION("IMPORTRANGE(""https://docs.google.com/spreadsheets/d/11923uPwbBZFjjGgGUA6NLw09EwE0CqkOc4q9oUmW1yo/edit?usp=sharing"",""ลำพูน!J421"")"),0)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IFERROR(__xludf.DUMMYFUNCTION("IMPORTRANGE(""https://docs.google.com/spreadsheets/d/11923uPwbBZFjjGgGUA6NLw09EwE0CqkOc4q9oUmW1yo/edit?usp=sharing"",""ลำพูน!I422"")"),0)</f>
        <v>0</v>
      </c>
      <c r="J527" s="197">
        <f ca="1">IFERROR(__xludf.DUMMYFUNCTION("IMPORTRANGE(""https://docs.google.com/spreadsheets/d/11923uPwbBZFjjGgGUA6NLw09EwE0CqkOc4q9oUmW1yo/edit?usp=sharing"",""ลำพูน!J422"")"),0)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IFERROR(__xludf.DUMMYFUNCTION("IMPORTRANGE(""https://docs.google.com/spreadsheets/d/11923uPwbBZFjjGgGUA6NLw09EwE0CqkOc4q9oUmW1yo/edit?usp=sharing"",""ลำพูน!I423"")"),0)</f>
        <v>0</v>
      </c>
      <c r="J528" s="197">
        <f ca="1">IFERROR(__xludf.DUMMYFUNCTION("IMPORTRANGE(""https://docs.google.com/spreadsheets/d/11923uPwbBZFjjGgGUA6NLw09EwE0CqkOc4q9oUmW1yo/edit?usp=sharing"",""ลำพูน!J423"")"),0)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IFERROR(__xludf.DUMMYFUNCTION("IMPORTRANGE(""https://docs.google.com/spreadsheets/d/11923uPwbBZFjjGgGUA6NLw09EwE0CqkOc4q9oUmW1yo/edit?usp=sharing"",""ลำพูน!I424"")"),0)</f>
        <v>0</v>
      </c>
      <c r="J529" s="197">
        <f ca="1">IFERROR(__xludf.DUMMYFUNCTION("IMPORTRANGE(""https://docs.google.com/spreadsheets/d/11923uPwbBZFjjGgGUA6NLw09EwE0CqkOc4q9oUmW1yo/edit?usp=sharing"",""ลำพูน!J424"")"),0)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IFERROR(__xludf.DUMMYFUNCTION("IMPORTRANGE(""https://docs.google.com/spreadsheets/d/11923uPwbBZFjjGgGUA6NLw09EwE0CqkOc4q9oUmW1yo/edit?usp=sharing"",""ลำพูน!I425"")"),0)</f>
        <v>0</v>
      </c>
      <c r="J530" s="197">
        <f ca="1">IFERROR(__xludf.DUMMYFUNCTION("IMPORTRANGE(""https://docs.google.com/spreadsheets/d/11923uPwbBZFjjGgGUA6NLw09EwE0CqkOc4q9oUmW1yo/edit?usp=sharing"",""ลำพูน!J425"")"),0)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IFERROR(__xludf.DUMMYFUNCTION("IMPORTRANGE(""https://docs.google.com/spreadsheets/d/11923uPwbBZFjjGgGUA6NLw09EwE0CqkOc4q9oUmW1yo/edit?usp=sharing"",""ลำพูน!I426"")"),0)</f>
        <v>0</v>
      </c>
      <c r="J531" s="197">
        <f ca="1">IFERROR(__xludf.DUMMYFUNCTION("IMPORTRANGE(""https://docs.google.com/spreadsheets/d/11923uPwbBZFjjGgGUA6NLw09EwE0CqkOc4q9oUmW1yo/edit?usp=sharing"",""ลำพูน!J426"")"),0)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IFERROR(__xludf.DUMMYFUNCTION("IMPORTRANGE(""https://docs.google.com/spreadsheets/d/11923uPwbBZFjjGgGUA6NLw09EwE0CqkOc4q9oUmW1yo/edit?usp=sharing"",""ลำพูน!I427"")"),0)</f>
        <v>0</v>
      </c>
      <c r="J532" s="464">
        <f ca="1">IFERROR(__xludf.DUMMYFUNCTION("IMPORTRANGE(""https://docs.google.com/spreadsheets/d/11923uPwbBZFjjGgGUA6NLw09EwE0CqkOc4q9oUmW1yo/edit?usp=sharing"",""ลำพูน!J427"")"),0)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IFERROR(__xludf.DUMMYFUNCTION("IMPORTRANGE(""https://docs.google.com/spreadsheets/d/11923uPwbBZFjjGgGUA6NLw09EwE0CqkOc4q9oUmW1yo/edit?usp=sharing"",""ลำพูน!I428"")"),22)</f>
        <v>22</v>
      </c>
      <c r="J533" s="408">
        <f ca="1">IFERROR(__xludf.DUMMYFUNCTION("IMPORTRANGE(""https://docs.google.com/spreadsheets/d/11923uPwbBZFjjGgGUA6NLw09EwE0CqkOc4q9oUmW1yo/edit?usp=sharing"",""ลำพูน!J428"")"),22)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IFERROR(__xludf.DUMMYFUNCTION("IMPORTRANGE(""https://docs.google.com/spreadsheets/d/11923uPwbBZFjjGgGUA6NLw09EwE0CqkOc4q9oUmW1yo/edit?usp=sharing"",""ลำพูน!L428"")"),34340)</f>
        <v>34340</v>
      </c>
      <c r="M533" s="410"/>
      <c r="N533" s="410">
        <f ca="1">IFERROR(__xludf.DUMMYFUNCTION("IMPORTRANGE(""https://docs.google.com/spreadsheets/d/11923uPwbBZFjjGgGUA6NLw09EwE0CqkOc4q9oUmW1yo/edit?usp=sharing"",""ลำพูน!M428"")"),17969)</f>
        <v>17969</v>
      </c>
      <c r="O533" s="410">
        <f t="shared" ref="O533:O537" ca="1" si="118">+IF(L533&gt;0,N533*100/L533,0)</f>
        <v>52.32673267326733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IFERROR(__xludf.DUMMYFUNCTION("IMPORTRANGE(""https://docs.google.com/spreadsheets/d/11923uPwbBZFjjGgGUA6NLw09EwE0CqkOc4q9oUmW1yo/edit?usp=sharing"",""ลำพูน!L429"")"),0)</f>
        <v>0</v>
      </c>
      <c r="M534" s="164"/>
      <c r="N534" s="168">
        <f ca="1">IFERROR(__xludf.DUMMYFUNCTION("IMPORTRANGE(""https://docs.google.com/spreadsheets/d/11923uPwbBZFjjGgGUA6NLw09EwE0CqkOc4q9oUmW1yo/edit?usp=sharing"",""ลำพูน!M429"")"),0)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IFERROR(__xludf.DUMMYFUNCTION("IMPORTRANGE(""https://docs.google.com/spreadsheets/d/11923uPwbBZFjjGgGUA6NLw09EwE0CqkOc4q9oUmW1yo/edit?usp=sharing"",""ลำพูน!L430"")"),34340)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IFERROR(__xludf.DUMMYFUNCTION("IMPORTRANGE(""https://docs.google.com/spreadsheets/d/11923uPwbBZFjjGgGUA6NLw09EwE0CqkOc4q9oUmW1yo/edit?usp=sharing"",""ลำพูน!M430"")"),17969)</f>
        <v>17969</v>
      </c>
      <c r="O535" s="168">
        <f t="shared" ca="1" si="118"/>
        <v>52.32673267326733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IFERROR(__xludf.DUMMYFUNCTION("IMPORTRANGE(""https://docs.google.com/spreadsheets/d/11923uPwbBZFjjGgGUA6NLw09EwE0CqkOc4q9oUmW1yo/edit?usp=sharing"",""ลำพูน!L431"")"),0)</f>
        <v>0</v>
      </c>
      <c r="M536" s="168"/>
      <c r="N536" s="168">
        <f ca="1">IFERROR(__xludf.DUMMYFUNCTION("IMPORTRANGE(""https://docs.google.com/spreadsheets/d/11923uPwbBZFjjGgGUA6NLw09EwE0CqkOc4q9oUmW1yo/edit?usp=sharing"",""ลำพูน!M431"")"),0)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IFERROR(__xludf.DUMMYFUNCTION("IMPORTRANGE(""https://docs.google.com/spreadsheets/d/11923uPwbBZFjjGgGUA6NLw09EwE0CqkOc4q9oUmW1yo/edit?usp=sharing"",""ลำพูน!L432"")"),34340)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IFERROR(__xludf.DUMMYFUNCTION("IMPORTRANGE(""https://docs.google.com/spreadsheets/d/11923uPwbBZFjjGgGUA6NLw09EwE0CqkOc4q9oUmW1yo/edit?usp=sharing"",""ลำพูน!M432"")"),17969)</f>
        <v>17969</v>
      </c>
      <c r="O537" s="168">
        <f t="shared" ca="1" si="118"/>
        <v>52.32673267326733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IFERROR(__xludf.DUMMYFUNCTION("IMPORTRANGE(""https://docs.google.com/spreadsheets/d/11923uPwbBZFjjGgGUA6NLw09EwE0CqkOc4q9oUmW1yo/edit?usp=sharing"",""ลำพูน!M433"")"),17969)</f>
        <v>17969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IFERROR(__xludf.DUMMYFUNCTION("IMPORTRANGE(""https://docs.google.com/spreadsheets/d/11923uPwbBZFjjGgGUA6NLw09EwE0CqkOc4q9oUmW1yo/edit?usp=sharing"",""ลำพูน!M434"")"),0)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IFERROR(__xludf.DUMMYFUNCTION("IMPORTRANGE(""https://docs.google.com/spreadsheets/d/11923uPwbBZFjjGgGUA6NLw09EwE0CqkOc4q9oUmW1yo/edit?usp=sharing"",""ลำพูน!M435"")"),0)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IFERROR(__xludf.DUMMYFUNCTION("IMPORTRANGE(""https://docs.google.com/spreadsheets/d/11923uPwbBZFjjGgGUA6NLw09EwE0CqkOc4q9oUmW1yo/edit?usp=sharing"",""ลำพูน!M436"")"),0)</f>
        <v>0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IFERROR(__xludf.DUMMYFUNCTION("IMPORTRANGE(""https://docs.google.com/spreadsheets/d/11923uPwbBZFjjGgGUA6NLw09EwE0CqkOc4q9oUmW1yo/edit?usp=sharing"",""ลำพูน!J438"")"),0)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IFERROR(__xludf.DUMMYFUNCTION("IMPORTRANGE(""https://docs.google.com/spreadsheets/d/11923uPwbBZFjjGgGUA6NLw09EwE0CqkOc4q9oUmW1yo/edit?usp=sharing"",""ลำพูน!J439"")"),1)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IFERROR(__xludf.DUMMYFUNCTION("IMPORTRANGE(""https://docs.google.com/spreadsheets/d/11923uPwbBZFjjGgGUA6NLw09EwE0CqkOc4q9oUmW1yo/edit?usp=sharing"",""ลำพูน!J440"")"),1)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IFERROR(__xludf.DUMMYFUNCTION("IMPORTRANGE(""https://docs.google.com/spreadsheets/d/11923uPwbBZFjjGgGUA6NLw09EwE0CqkOc4q9oUmW1yo/edit?usp=sharing"",""ลำพูน!J441"")"),1)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IFERROR(__xludf.DUMMYFUNCTION("IMPORTRANGE(""https://docs.google.com/spreadsheets/d/11923uPwbBZFjjGgGUA6NLw09EwE0CqkOc4q9oUmW1yo/edit?usp=sharing"",""ลำพูน!I442"")"),22)</f>
        <v>22</v>
      </c>
      <c r="J547" s="188">
        <f ca="1">IFERROR(__xludf.DUMMYFUNCTION("IMPORTRANGE(""https://docs.google.com/spreadsheets/d/11923uPwbBZFjjGgGUA6NLw09EwE0CqkOc4q9oUmW1yo/edit?usp=sharing"",""ลำพูน!J442"")"),22)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IFERROR(__xludf.DUMMYFUNCTION("IMPORTRANGE(""https://docs.google.com/spreadsheets/d/11923uPwbBZFjjGgGUA6NLw09EwE0CqkOc4q9oUmW1yo/edit?usp=sharing"",""ลำพูน!J166"")"),0)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IFERROR(__xludf.DUMMYFUNCTION("IMPORTRANGE(""https://docs.google.com/spreadsheets/d/11923uPwbBZFjjGgGUA6NLw09EwE0CqkOc4q9oUmW1yo/edit?usp=sharing"",""ลำพูน!J444"")"),1)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IFERROR(__xludf.DUMMYFUNCTION("IMPORTRANGE(""https://docs.google.com/spreadsheets/d/11923uPwbBZFjjGgGUA6NLw09EwE0CqkOc4q9oUmW1yo/edit?usp=sharing"",""ลำพูน!J445"")"),0)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IFERROR(__xludf.DUMMYFUNCTION("IMPORTRANGE(""https://docs.google.com/spreadsheets/d/11923uPwbBZFjjGgGUA6NLw09EwE0CqkOc4q9oUmW1yo/edit?usp=sharing"",""ลำพูน!I446"")"),0)</f>
        <v>0</v>
      </c>
      <c r="J551" s="408">
        <f ca="1">IFERROR(__xludf.DUMMYFUNCTION("IMPORTRANGE(""https://docs.google.com/spreadsheets/d/11923uPwbBZFjjGgGUA6NLw09EwE0CqkOc4q9oUmW1yo/edit?usp=sharing"",""ลำพูน!J446"")"),0)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IFERROR(__xludf.DUMMYFUNCTION("IMPORTRANGE(""https://docs.google.com/spreadsheets/d/11923uPwbBZFjjGgGUA6NLw09EwE0CqkOc4q9oUmW1yo/edit?usp=sharing"",""ลำพูน!L446"")"),0)</f>
        <v>0</v>
      </c>
      <c r="M551" s="410"/>
      <c r="N551" s="410">
        <f ca="1">IFERROR(__xludf.DUMMYFUNCTION("IMPORTRANGE(""https://docs.google.com/spreadsheets/d/11923uPwbBZFjjGgGUA6NLw09EwE0CqkOc4q9oUmW1yo/edit?usp=sharing"",""ลำพูน!M446"")"),0)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IFERROR(__xludf.DUMMYFUNCTION("IMPORTRANGE(""https://docs.google.com/spreadsheets/d/11923uPwbBZFjjGgGUA6NLw09EwE0CqkOc4q9oUmW1yo/edit?usp=sharing"",""ลำพูน!L447"")"),0)</f>
        <v>0</v>
      </c>
      <c r="M552" s="164"/>
      <c r="N552" s="168">
        <f ca="1">IFERROR(__xludf.DUMMYFUNCTION("IMPORTRANGE(""https://docs.google.com/spreadsheets/d/11923uPwbBZFjjGgGUA6NLw09EwE0CqkOc4q9oUmW1yo/edit?usp=sharing"",""ลำพูน!M447"")"),0)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IFERROR(__xludf.DUMMYFUNCTION("IMPORTRANGE(""https://docs.google.com/spreadsheets/d/11923uPwbBZFjjGgGUA6NLw09EwE0CqkOc4q9oUmW1yo/edit?usp=sharing"",""ลำพูน!L448"")"),0)</f>
        <v>0</v>
      </c>
      <c r="M553" s="165"/>
      <c r="N553" s="168">
        <f ca="1">IFERROR(__xludf.DUMMYFUNCTION("IMPORTRANGE(""https://docs.google.com/spreadsheets/d/11923uPwbBZFjjGgGUA6NLw09EwE0CqkOc4q9oUmW1yo/edit?usp=sharing"",""ลำพูน!M448"")"),0)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IFERROR(__xludf.DUMMYFUNCTION("IMPORTRANGE(""https://docs.google.com/spreadsheets/d/11923uPwbBZFjjGgGUA6NLw09EwE0CqkOc4q9oUmW1yo/edit?usp=sharing"",""ลำพูน!L449"")"),0)</f>
        <v>0</v>
      </c>
      <c r="M554" s="168"/>
      <c r="N554" s="168">
        <f ca="1">IFERROR(__xludf.DUMMYFUNCTION("IMPORTRANGE(""https://docs.google.com/spreadsheets/d/11923uPwbBZFjjGgGUA6NLw09EwE0CqkOc4q9oUmW1yo/edit?usp=sharing"",""ลำพูน!M449"")"),0)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IFERROR(__xludf.DUMMYFUNCTION("IMPORTRANGE(""https://docs.google.com/spreadsheets/d/11923uPwbBZFjjGgGUA6NLw09EwE0CqkOc4q9oUmW1yo/edit?usp=sharing"",""ลำพูน!L450"")"),0)</f>
        <v>0</v>
      </c>
      <c r="M555" s="168"/>
      <c r="N555" s="168">
        <f ca="1">IFERROR(__xludf.DUMMYFUNCTION("IMPORTRANGE(""https://docs.google.com/spreadsheets/d/11923uPwbBZFjjGgGUA6NLw09EwE0CqkOc4q9oUmW1yo/edit?usp=sharing"",""ลำพูน!M450"")"),0)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IFERROR(__xludf.DUMMYFUNCTION("IMPORTRANGE(""https://docs.google.com/spreadsheets/d/11923uPwbBZFjjGgGUA6NLw09EwE0CqkOc4q9oUmW1yo/edit?usp=sharing"",""ลำพูน!M451"")"),0)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IFERROR(__xludf.DUMMYFUNCTION("IMPORTRANGE(""https://docs.google.com/spreadsheets/d/11923uPwbBZFjjGgGUA6NLw09EwE0CqkOc4q9oUmW1yo/edit?usp=sharing"",""ลำพูน!M452"")"),0)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IFERROR(__xludf.DUMMYFUNCTION("IMPORTRANGE(""https://docs.google.com/spreadsheets/d/11923uPwbBZFjjGgGUA6NLw09EwE0CqkOc4q9oUmW1yo/edit?usp=sharing"",""ลำพูน!M453"")"),0)</f>
        <v>0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IFERROR(__xludf.DUMMYFUNCTION("IMPORTRANGE(""https://docs.google.com/spreadsheets/d/11923uPwbBZFjjGgGUA6NLw09EwE0CqkOc4q9oUmW1yo/edit?usp=sharing"",""ลำพูน!M454"")"),0)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IFERROR(__xludf.DUMMYFUNCTION("IMPORTRANGE(""https://docs.google.com/spreadsheets/d/11923uPwbBZFjjGgGUA6NLw09EwE0CqkOc4q9oUmW1yo/edit?usp=sharing"",""ลำพูน!I455"")"),0)</f>
        <v>0</v>
      </c>
      <c r="J560" s="162">
        <f ca="1">IFERROR(__xludf.DUMMYFUNCTION("IMPORTRANGE(""https://docs.google.com/spreadsheets/d/11923uPwbBZFjjGgGUA6NLw09EwE0CqkOc4q9oUmW1yo/edit?usp=sharing"",""ลำพูน!J455"")"),0)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IFERROR(__xludf.DUMMYFUNCTION("IMPORTRANGE(""https://docs.google.com/spreadsheets/d/11923uPwbBZFjjGgGUA6NLw09EwE0CqkOc4q9oUmW1yo/edit?usp=sharing"",""ลำพูน!I456"")"),0)</f>
        <v>0</v>
      </c>
      <c r="J561" s="203">
        <f ca="1">IFERROR(__xludf.DUMMYFUNCTION("IMPORTRANGE(""https://docs.google.com/spreadsheets/d/11923uPwbBZFjjGgGUA6NLw09EwE0CqkOc4q9oUmW1yo/edit?usp=sharing"",""ลำพูน!J456"")"),0)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f ca="1">IFERROR(__xludf.DUMMYFUNCTION("IMPORTRANGE(""https://docs.google.com/spreadsheets/d/11923uPwbBZFjjGgGUA6NLw09EwE0CqkOc4q9oUmW1yo/edit?usp=sharing"",""ลำพูน!I457"")"),0)</f>
        <v>0</v>
      </c>
      <c r="J562" s="203" t="str">
        <f ca="1">IFERROR(__xludf.DUMMYFUNCTION("IMPORTRANGE(""https://docs.google.com/spreadsheets/d/11923uPwbBZFjjGgGUA6NLw09EwE0CqkOc4q9oUmW1yo/edit?usp=sharing"",""ลำพูน!J457"")"),"")</f>
        <v/>
      </c>
      <c r="K562" s="163">
        <f t="shared" ca="1" si="121"/>
        <v>0</v>
      </c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f ca="1">IFERROR(__xludf.DUMMYFUNCTION("IMPORTRANGE(""https://docs.google.com/spreadsheets/d/11923uPwbBZFjjGgGUA6NLw09EwE0CqkOc4q9oUmW1yo/edit?usp=sharing"",""ลำพูน!I458"")"),0)</f>
        <v>0</v>
      </c>
      <c r="J563" s="187" t="str">
        <f ca="1">IFERROR(__xludf.DUMMYFUNCTION("IMPORTRANGE(""https://docs.google.com/spreadsheets/d/11923uPwbBZFjjGgGUA6NLw09EwE0CqkOc4q9oUmW1yo/edit?usp=sharing"",""ลำพูน!J458"")"),"")</f>
        <v/>
      </c>
      <c r="K563" s="163">
        <f t="shared" ca="1" si="121"/>
        <v>0</v>
      </c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IFERROR(__xludf.DUMMYFUNCTION("IMPORTRANGE(""https://docs.google.com/spreadsheets/d/11923uPwbBZFjjGgGUA6NLw09EwE0CqkOc4q9oUmW1yo/edit?usp=sharing"",""ลำพูน!I459"")"),650)</f>
        <v>650</v>
      </c>
      <c r="J564" s="369">
        <f ca="1">IFERROR(__xludf.DUMMYFUNCTION("IMPORTRANGE(""https://docs.google.com/spreadsheets/d/11923uPwbBZFjjGgGUA6NLw09EwE0CqkOc4q9oUmW1yo/edit?usp=sharing"",""ลำพูน!J459"")"),489)</f>
        <v>489</v>
      </c>
      <c r="K564" s="370">
        <f t="shared" ca="1" si="121"/>
        <v>75.230769230769226</v>
      </c>
      <c r="L564" s="371">
        <f ca="1">IFERROR(__xludf.DUMMYFUNCTION("IMPORTRANGE(""https://docs.google.com/spreadsheets/d/11923uPwbBZFjjGgGUA6NLw09EwE0CqkOc4q9oUmW1yo/edit?usp=sharing"",""ลำพูน!L459"")"),126880)</f>
        <v>126880</v>
      </c>
      <c r="M564" s="371"/>
      <c r="N564" s="371">
        <f ca="1">IFERROR(__xludf.DUMMYFUNCTION("IMPORTRANGE(""https://docs.google.com/spreadsheets/d/11923uPwbBZFjjGgGUA6NLw09EwE0CqkOc4q9oUmW1yo/edit?usp=sharing"",""ลำพูน!M459"")"),48305)</f>
        <v>48305</v>
      </c>
      <c r="O564" s="371">
        <f t="shared" ref="O564:O568" ca="1" si="122">+IF(L564&gt;0,N564*100/L564,0)</f>
        <v>38.071406052963432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IFERROR(__xludf.DUMMYFUNCTION("IMPORTRANGE(""https://docs.google.com/spreadsheets/d/11923uPwbBZFjjGgGUA6NLw09EwE0CqkOc4q9oUmW1yo/edit?usp=sharing"",""ลำพูน!L460"")"),0)</f>
        <v>0</v>
      </c>
      <c r="M565" s="164"/>
      <c r="N565" s="168">
        <f ca="1">IFERROR(__xludf.DUMMYFUNCTION("IMPORTRANGE(""https://docs.google.com/spreadsheets/d/11923uPwbBZFjjGgGUA6NLw09EwE0CqkOc4q9oUmW1yo/edit?usp=sharing"",""ลำพูน!M460"")"),0)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IFERROR(__xludf.DUMMYFUNCTION("IMPORTRANGE(""https://docs.google.com/spreadsheets/d/11923uPwbBZFjjGgGUA6NLw09EwE0CqkOc4q9oUmW1yo/edit?usp=sharing"",""ลำพูน!L461"")"),126880)</f>
        <v>126880</v>
      </c>
      <c r="M566" s="165"/>
      <c r="N566" s="168">
        <f ca="1">IFERROR(__xludf.DUMMYFUNCTION("IMPORTRANGE(""https://docs.google.com/spreadsheets/d/11923uPwbBZFjjGgGUA6NLw09EwE0CqkOc4q9oUmW1yo/edit?usp=sharing"",""ลำพูน!M461"")"),48305)</f>
        <v>48305</v>
      </c>
      <c r="O566" s="168">
        <f t="shared" ca="1" si="122"/>
        <v>38.071406052963432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IFERROR(__xludf.DUMMYFUNCTION("IMPORTRANGE(""https://docs.google.com/spreadsheets/d/11923uPwbBZFjjGgGUA6NLw09EwE0CqkOc4q9oUmW1yo/edit?usp=sharing"",""ลำพูน!L462"")"),0)</f>
        <v>0</v>
      </c>
      <c r="M567" s="168"/>
      <c r="N567" s="168">
        <f ca="1">IFERROR(__xludf.DUMMYFUNCTION("IMPORTRANGE(""https://docs.google.com/spreadsheets/d/11923uPwbBZFjjGgGUA6NLw09EwE0CqkOc4q9oUmW1yo/edit?usp=sharing"",""ลำพูน!M462"")"),0)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IFERROR(__xludf.DUMMYFUNCTION("IMPORTRANGE(""https://docs.google.com/spreadsheets/d/11923uPwbBZFjjGgGUA6NLw09EwE0CqkOc4q9oUmW1yo/edit?usp=sharing"",""ลำพูน!L463"")"),126880)</f>
        <v>126880</v>
      </c>
      <c r="M568" s="168"/>
      <c r="N568" s="168">
        <f ca="1">IFERROR(__xludf.DUMMYFUNCTION("IMPORTRANGE(""https://docs.google.com/spreadsheets/d/11923uPwbBZFjjGgGUA6NLw09EwE0CqkOc4q9oUmW1yo/edit?usp=sharing"",""ลำพูน!M463"")"),48305)</f>
        <v>48305</v>
      </c>
      <c r="O568" s="168">
        <f t="shared" ca="1" si="122"/>
        <v>38.071406052963432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IFERROR(__xludf.DUMMYFUNCTION("IMPORTRANGE(""https://docs.google.com/spreadsheets/d/11923uPwbBZFjjGgGUA6NLw09EwE0CqkOc4q9oUmW1yo/edit?usp=sharing"",""ลำพูน!M464"")"),0)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IFERROR(__xludf.DUMMYFUNCTION("IMPORTRANGE(""https://docs.google.com/spreadsheets/d/11923uPwbBZFjjGgGUA6NLw09EwE0CqkOc4q9oUmW1yo/edit?usp=sharing"",""ลำพูน!M465"")"),0)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IFERROR(__xludf.DUMMYFUNCTION("IMPORTRANGE(""https://docs.google.com/spreadsheets/d/11923uPwbBZFjjGgGUA6NLw09EwE0CqkOc4q9oUmW1yo/edit?usp=sharing"",""ลำพูน!M466"")"),42935)</f>
        <v>42935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IFERROR(__xludf.DUMMYFUNCTION("IMPORTRANGE(""https://docs.google.com/spreadsheets/d/11923uPwbBZFjjGgGUA6NLw09EwE0CqkOc4q9oUmW1yo/edit?usp=sharing"",""ลำพูน!M467"")"),5370)</f>
        <v>5370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IFERROR(__xludf.DUMMYFUNCTION("IMPORTRANGE(""https://docs.google.com/spreadsheets/d/11923uPwbBZFjjGgGUA6NLw09EwE0CqkOc4q9oUmW1yo/edit?usp=sharing"",""ลำพูน!I468"")"),650)</f>
        <v>650</v>
      </c>
      <c r="J573" s="418">
        <f ca="1">IFERROR(__xludf.DUMMYFUNCTION("IMPORTRANGE(""https://docs.google.com/spreadsheets/d/11923uPwbBZFjjGgGUA6NLw09EwE0CqkOc4q9oUmW1yo/edit?usp=sharing"",""ลำพูน!J468"")"),489)</f>
        <v>489</v>
      </c>
      <c r="K573" s="201">
        <f ca="1">IF(I573&gt;0,J573*100/I573,0)</f>
        <v>75.230769230769226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IFERROR(__xludf.DUMMYFUNCTION("IMPORTRANGE(""https://docs.google.com/spreadsheets/d/11923uPwbBZFjjGgGUA6NLw09EwE0CqkOc4q9oUmW1yo/edit?usp=sharing"",""ลำพูน!I470"")"),0)</f>
        <v>0</v>
      </c>
      <c r="J575" s="197">
        <f ca="1">IFERROR(__xludf.DUMMYFUNCTION("IMPORTRANGE(""https://docs.google.com/spreadsheets/d/11923uPwbBZFjjGgGUA6NLw09EwE0CqkOc4q9oUmW1yo/edit?usp=sharing"",""ลำพูน!J470"")"),0)</f>
        <v>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IFERROR(__xludf.DUMMYFUNCTION("IMPORTRANGE(""https://docs.google.com/spreadsheets/d/11923uPwbBZFjjGgGUA6NLw09EwE0CqkOc4q9oUmW1yo/edit?usp=sharing"",""ลำพูน!I471"")"),0)</f>
        <v>0</v>
      </c>
      <c r="J576" s="197">
        <f ca="1">IFERROR(__xludf.DUMMYFUNCTION("IMPORTRANGE(""https://docs.google.com/spreadsheets/d/11923uPwbBZFjjGgGUA6NLw09EwE0CqkOc4q9oUmW1yo/edit?usp=sharing"",""ลำพูน!J471"")"),0)</f>
        <v>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IFERROR(__xludf.DUMMYFUNCTION("IMPORTRANGE(""https://docs.google.com/spreadsheets/d/11923uPwbBZFjjGgGUA6NLw09EwE0CqkOc4q9oUmW1yo/edit?usp=sharing"",""ลำพูน!I472"")"),0)</f>
        <v>0</v>
      </c>
      <c r="J577" s="188">
        <f ca="1">IFERROR(__xludf.DUMMYFUNCTION("IMPORTRANGE(""https://docs.google.com/spreadsheets/d/11923uPwbBZFjjGgGUA6NLw09EwE0CqkOc4q9oUmW1yo/edit?usp=sharing"",""ลำพูน!J472"")"),489)</f>
        <v>489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IFERROR(__xludf.DUMMYFUNCTION("IMPORTRANGE(""https://docs.google.com/spreadsheets/d/11923uPwbBZFjjGgGUA6NLw09EwE0CqkOc4q9oUmW1yo/edit?usp=sharing"",""ลำพูน!I473"")"),0)</f>
        <v>0</v>
      </c>
      <c r="J578" s="197">
        <f ca="1">IFERROR(__xludf.DUMMYFUNCTION("IMPORTRANGE(""https://docs.google.com/spreadsheets/d/11923uPwbBZFjjGgGUA6NLw09EwE0CqkOc4q9oUmW1yo/edit?usp=sharing"",""ลำพูน!J473"")"),0)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IFERROR(__xludf.DUMMYFUNCTION("IMPORTRANGE(""https://docs.google.com/spreadsheets/d/11923uPwbBZFjjGgGUA6NLw09EwE0CqkOc4q9oUmW1yo/edit?usp=sharing"",""ลำพูน!I474"")"),0)</f>
        <v>0</v>
      </c>
      <c r="J579" s="197">
        <f ca="1">IFERROR(__xludf.DUMMYFUNCTION("IMPORTRANGE(""https://docs.google.com/spreadsheets/d/11923uPwbBZFjjGgGUA6NLw09EwE0CqkOc4q9oUmW1yo/edit?usp=sharing"",""ลำพูน!J474"")"),0)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IFERROR(__xludf.DUMMYFUNCTION("IMPORTRANGE(""https://docs.google.com/spreadsheets/d/11923uPwbBZFjjGgGUA6NLw09EwE0CqkOc4q9oUmW1yo/edit?usp=sharing"",""ลำพูน!I475"")"),0)</f>
        <v>0</v>
      </c>
      <c r="J580" s="369">
        <f ca="1">IFERROR(__xludf.DUMMYFUNCTION("IMPORTRANGE(""https://docs.google.com/spreadsheets/d/11923uPwbBZFjjGgGUA6NLw09EwE0CqkOc4q9oUmW1yo/edit?usp=sharing"",""ลำพูน!J475"")"),0)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IFERROR(__xludf.DUMMYFUNCTION("IMPORTRANGE(""https://docs.google.com/spreadsheets/d/11923uPwbBZFjjGgGUA6NLw09EwE0CqkOc4q9oUmW1yo/edit?usp=sharing"",""ลำพูน!L475"")"),0)</f>
        <v>0</v>
      </c>
      <c r="M580" s="371"/>
      <c r="N580" s="371">
        <f ca="1">IFERROR(__xludf.DUMMYFUNCTION("IMPORTRANGE(""https://docs.google.com/spreadsheets/d/11923uPwbBZFjjGgGUA6NLw09EwE0CqkOc4q9oUmW1yo/edit?usp=sharing"",""ลำพูน!M475"")"),0)</f>
        <v>0</v>
      </c>
      <c r="O580" s="371">
        <f t="shared" ref="O580:O584" ca="1" si="124">+IF(L580&gt;0,N580*100/L580,0)</f>
        <v>0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IFERROR(__xludf.DUMMYFUNCTION("IMPORTRANGE(""https://docs.google.com/spreadsheets/d/11923uPwbBZFjjGgGUA6NLw09EwE0CqkOc4q9oUmW1yo/edit?usp=sharing"",""ลำพูน!L476"")"),0)</f>
        <v>0</v>
      </c>
      <c r="M581" s="164"/>
      <c r="N581" s="168">
        <f ca="1">IFERROR(__xludf.DUMMYFUNCTION("IMPORTRANGE(""https://docs.google.com/spreadsheets/d/11923uPwbBZFjjGgGUA6NLw09EwE0CqkOc4q9oUmW1yo/edit?usp=sharing"",""ลำพูน!M476"")"),0)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IFERROR(__xludf.DUMMYFUNCTION("IMPORTRANGE(""https://docs.google.com/spreadsheets/d/11923uPwbBZFjjGgGUA6NLw09EwE0CqkOc4q9oUmW1yo/edit?usp=sharing"",""ลำพูน!L477"")"),0)</f>
        <v>0</v>
      </c>
      <c r="M582" s="165"/>
      <c r="N582" s="168">
        <f ca="1">IFERROR(__xludf.DUMMYFUNCTION("IMPORTRANGE(""https://docs.google.com/spreadsheets/d/11923uPwbBZFjjGgGUA6NLw09EwE0CqkOc4q9oUmW1yo/edit?usp=sharing"",""ลำพูน!M477"")"),0)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IFERROR(__xludf.DUMMYFUNCTION("IMPORTRANGE(""https://docs.google.com/spreadsheets/d/11923uPwbBZFjjGgGUA6NLw09EwE0CqkOc4q9oUmW1yo/edit?usp=sharing"",""ลำพูน!L478"")"),0)</f>
        <v>0</v>
      </c>
      <c r="M583" s="168"/>
      <c r="N583" s="168">
        <f ca="1">IFERROR(__xludf.DUMMYFUNCTION("IMPORTRANGE(""https://docs.google.com/spreadsheets/d/11923uPwbBZFjjGgGUA6NLw09EwE0CqkOc4q9oUmW1yo/edit?usp=sharing"",""ลำพูน!M478"")"),0)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IFERROR(__xludf.DUMMYFUNCTION("IMPORTRANGE(""https://docs.google.com/spreadsheets/d/11923uPwbBZFjjGgGUA6NLw09EwE0CqkOc4q9oUmW1yo/edit?usp=sharing"",""ลำพูน!L479"")"),0)</f>
        <v>0</v>
      </c>
      <c r="M584" s="168"/>
      <c r="N584" s="168">
        <f ca="1">IFERROR(__xludf.DUMMYFUNCTION("IMPORTRANGE(""https://docs.google.com/spreadsheets/d/11923uPwbBZFjjGgGUA6NLw09EwE0CqkOc4q9oUmW1yo/edit?usp=sharing"",""ลำพูน!M479"")"),0)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IFERROR(__xludf.DUMMYFUNCTION("IMPORTRANGE(""https://docs.google.com/spreadsheets/d/11923uPwbBZFjjGgGUA6NLw09EwE0CqkOc4q9oUmW1yo/edit?usp=sharing"",""ลำพูน!M480"")"),0)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IFERROR(__xludf.DUMMYFUNCTION("IMPORTRANGE(""https://docs.google.com/spreadsheets/d/11923uPwbBZFjjGgGUA6NLw09EwE0CqkOc4q9oUmW1yo/edit?usp=sharing"",""ลำพูน!M481"")"),0)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IFERROR(__xludf.DUMMYFUNCTION("IMPORTRANGE(""https://docs.google.com/spreadsheets/d/11923uPwbBZFjjGgGUA6NLw09EwE0CqkOc4q9oUmW1yo/edit?usp=sharing"",""ลำพูน!M482"")"),0)</f>
        <v>0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IFERROR(__xludf.DUMMYFUNCTION("IMPORTRANGE(""https://docs.google.com/spreadsheets/d/11923uPwbBZFjjGgGUA6NLw09EwE0CqkOc4q9oUmW1yo/edit?usp=sharing"",""ลำพูน!M483"")"),0)</f>
        <v>0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IFERROR(__xludf.DUMMYFUNCTION("IMPORTRANGE(""https://docs.google.com/spreadsheets/d/11923uPwbBZFjjGgGUA6NLw09EwE0CqkOc4q9oUmW1yo/edit?usp=sharing"",""ลำพูน!I484"")"),0)</f>
        <v>0</v>
      </c>
      <c r="J589" s="187">
        <f ca="1">IFERROR(__xludf.DUMMYFUNCTION("IMPORTRANGE(""https://docs.google.com/spreadsheets/d/11923uPwbBZFjjGgGUA6NLw09EwE0CqkOc4q9oUmW1yo/edit?usp=sharing"",""ลำพูน!J484"")"),0)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IFERROR(__xludf.DUMMYFUNCTION("IMPORTRANGE(""https://docs.google.com/spreadsheets/d/11923uPwbBZFjjGgGUA6NLw09EwE0CqkOc4q9oUmW1yo/edit?usp=sharing"",""ลำพูน!I485"")"),0)</f>
        <v>0</v>
      </c>
      <c r="J590" s="187">
        <f ca="1">IFERROR(__xludf.DUMMYFUNCTION("IMPORTRANGE(""https://docs.google.com/spreadsheets/d/11923uPwbBZFjjGgGUA6NLw09EwE0CqkOc4q9oUmW1yo/edit?usp=sharing"",""ลำพูน!J485"")"),0)</f>
        <v>0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IFERROR(__xludf.DUMMYFUNCTION("IMPORTRANGE(""https://docs.google.com/spreadsheets/d/11923uPwbBZFjjGgGUA6NLw09EwE0CqkOc4q9oUmW1yo/edit?usp=sharing"",""ลำพูน!I486"")"),0)</f>
        <v>0</v>
      </c>
      <c r="J591" s="187">
        <f ca="1">IFERROR(__xludf.DUMMYFUNCTION("IMPORTRANGE(""https://docs.google.com/spreadsheets/d/11923uPwbBZFjjGgGUA6NLw09EwE0CqkOc4q9oUmW1yo/edit?usp=sharing"",""ลำพูน!J486"")"),0)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IFERROR(__xludf.DUMMYFUNCTION("IMPORTRANGE(""https://docs.google.com/spreadsheets/d/11923uPwbBZFjjGgGUA6NLw09EwE0CqkOc4q9oUmW1yo/edit?usp=sharing"",""ลำพูน!I487"")"),0)</f>
        <v>0</v>
      </c>
      <c r="J592" s="187">
        <f ca="1">IFERROR(__xludf.DUMMYFUNCTION("IMPORTRANGE(""https://docs.google.com/spreadsheets/d/11923uPwbBZFjjGgGUA6NLw09EwE0CqkOc4q9oUmW1yo/edit?usp=sharing"",""ลำพูน!J487"")"),0)</f>
        <v>0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IFERROR(__xludf.DUMMYFUNCTION("IMPORTRANGE(""https://docs.google.com/spreadsheets/d/11923uPwbBZFjjGgGUA6NLw09EwE0CqkOc4q9oUmW1yo/edit?usp=sharing"",""ลำพูน!I488"")"),0)</f>
        <v>0</v>
      </c>
      <c r="J593" s="187">
        <f ca="1">IFERROR(__xludf.DUMMYFUNCTION("IMPORTRANGE(""https://docs.google.com/spreadsheets/d/11923uPwbBZFjjGgGUA6NLw09EwE0CqkOc4q9oUmW1yo/edit?usp=sharing"",""ลำพูน!J488"")"),0)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IFERROR(__xludf.DUMMYFUNCTION("IMPORTRANGE(""https://docs.google.com/spreadsheets/d/11923uPwbBZFjjGgGUA6NLw09EwE0CqkOc4q9oUmW1yo/edit?usp=sharing"",""ลำพูน!I489"")"),0)</f>
        <v>0</v>
      </c>
      <c r="J594" s="187">
        <f ca="1">IFERROR(__xludf.DUMMYFUNCTION("IMPORTRANGE(""https://docs.google.com/spreadsheets/d/11923uPwbBZFjjGgGUA6NLw09EwE0CqkOc4q9oUmW1yo/edit?usp=sharing"",""ลำพูน!J489"")"),0)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IFERROR(__xludf.DUMMYFUNCTION("IMPORTRANGE(""https://docs.google.com/spreadsheets/d/11923uPwbBZFjjGgGUA6NLw09EwE0CqkOc4q9oUmW1yo/edit?usp=sharing"",""ลำพูน!I490"")"),0)</f>
        <v>0</v>
      </c>
      <c r="J595" s="187">
        <f ca="1">IFERROR(__xludf.DUMMYFUNCTION("IMPORTRANGE(""https://docs.google.com/spreadsheets/d/11923uPwbBZFjjGgGUA6NLw09EwE0CqkOc4q9oUmW1yo/edit?usp=sharing"",""ลำพูน!J490"")"),0)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IFERROR(__xludf.DUMMYFUNCTION("IMPORTRANGE(""https://docs.google.com/spreadsheets/d/11923uPwbBZFjjGgGUA6NLw09EwE0CqkOc4q9oUmW1yo/edit?usp=sharing"",""ลำพูน!I491"")"),0)</f>
        <v>0</v>
      </c>
      <c r="J596" s="240">
        <f ca="1">IFERROR(__xludf.DUMMYFUNCTION("IMPORTRANGE(""https://docs.google.com/spreadsheets/d/11923uPwbBZFjjGgGUA6NLw09EwE0CqkOc4q9oUmW1yo/edit?usp=sharing"",""ลำพูน!J491"")"),0)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IFERROR(__xludf.DUMMYFUNCTION("IMPORTRANGE(""https://docs.google.com/spreadsheets/d/11923uPwbBZFjjGgGUA6NLw09EwE0CqkOc4q9oUmW1yo/edit?usp=sharing"",""ลำพูน!I492"")"),50)</f>
        <v>50</v>
      </c>
      <c r="J597" s="485">
        <f ca="1">IFERROR(__xludf.DUMMYFUNCTION("IMPORTRANGE(""https://docs.google.com/spreadsheets/d/11923uPwbBZFjjGgGUA6NLw09EwE0CqkOc4q9oUmW1yo/edit?usp=sharing"",""ลำพูน!J492"")"),0)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IFERROR(__xludf.DUMMYFUNCTION("IMPORTRANGE(""https://docs.google.com/spreadsheets/d/11923uPwbBZFjjGgGUA6NLw09EwE0CqkOc4q9oUmW1yo/edit?usp=sharing"",""ลำพูน!L492"")"),4550)</f>
        <v>4550</v>
      </c>
      <c r="M597" s="410"/>
      <c r="N597" s="410">
        <f ca="1">IFERROR(__xludf.DUMMYFUNCTION("IMPORTRANGE(""https://docs.google.com/spreadsheets/d/11923uPwbBZFjjGgGUA6NLw09EwE0CqkOc4q9oUmW1yo/edit?usp=sharing"",""ลำพูน!M492"")"),850)</f>
        <v>850</v>
      </c>
      <c r="O597" s="410">
        <f t="shared" ref="O597:O601" ca="1" si="126">+IF(L597&gt;0,N597*100/L597,0)</f>
        <v>18.681318681318682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IFERROR(__xludf.DUMMYFUNCTION("IMPORTRANGE(""https://docs.google.com/spreadsheets/d/11923uPwbBZFjjGgGUA6NLw09EwE0CqkOc4q9oUmW1yo/edit?usp=sharing"",""ลำพูน!L493"")"),0)</f>
        <v>0</v>
      </c>
      <c r="M598" s="164"/>
      <c r="N598" s="168">
        <f ca="1">IFERROR(__xludf.DUMMYFUNCTION("IMPORTRANGE(""https://docs.google.com/spreadsheets/d/11923uPwbBZFjjGgGUA6NLw09EwE0CqkOc4q9oUmW1yo/edit?usp=sharing"",""ลำพูน!M493"")"),0)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IFERROR(__xludf.DUMMYFUNCTION("IMPORTRANGE(""https://docs.google.com/spreadsheets/d/11923uPwbBZFjjGgGUA6NLw09EwE0CqkOc4q9oUmW1yo/edit?usp=sharing"",""ลำพูน!L494"")"),4550)</f>
        <v>4550</v>
      </c>
      <c r="M599" s="165"/>
      <c r="N599" s="168">
        <f ca="1">IFERROR(__xludf.DUMMYFUNCTION("IMPORTRANGE(""https://docs.google.com/spreadsheets/d/11923uPwbBZFjjGgGUA6NLw09EwE0CqkOc4q9oUmW1yo/edit?usp=sharing"",""ลำพูน!M494"")"),850)</f>
        <v>850</v>
      </c>
      <c r="O599" s="168">
        <f t="shared" ca="1" si="126"/>
        <v>18.681318681318682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IFERROR(__xludf.DUMMYFUNCTION("IMPORTRANGE(""https://docs.google.com/spreadsheets/d/11923uPwbBZFjjGgGUA6NLw09EwE0CqkOc4q9oUmW1yo/edit?usp=sharing"",""ลำพูน!L495"")"),0)</f>
        <v>0</v>
      </c>
      <c r="M600" s="168"/>
      <c r="N600" s="168">
        <f ca="1">IFERROR(__xludf.DUMMYFUNCTION("IMPORTRANGE(""https://docs.google.com/spreadsheets/d/11923uPwbBZFjjGgGUA6NLw09EwE0CqkOc4q9oUmW1yo/edit?usp=sharing"",""ลำพูน!M495"")"),0)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IFERROR(__xludf.DUMMYFUNCTION("IMPORTRANGE(""https://docs.google.com/spreadsheets/d/11923uPwbBZFjjGgGUA6NLw09EwE0CqkOc4q9oUmW1yo/edit?usp=sharing"",""ลำพูน!L496"")"),4550)</f>
        <v>4550</v>
      </c>
      <c r="M601" s="168"/>
      <c r="N601" s="168">
        <f ca="1">IFERROR(__xludf.DUMMYFUNCTION("IMPORTRANGE(""https://docs.google.com/spreadsheets/d/11923uPwbBZFjjGgGUA6NLw09EwE0CqkOc4q9oUmW1yo/edit?usp=sharing"",""ลำพูน!M496"")"),850)</f>
        <v>850</v>
      </c>
      <c r="O601" s="168">
        <f t="shared" ca="1" si="126"/>
        <v>18.681318681318682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IFERROR(__xludf.DUMMYFUNCTION("IMPORTRANGE(""https://docs.google.com/spreadsheets/d/11923uPwbBZFjjGgGUA6NLw09EwE0CqkOc4q9oUmW1yo/edit?usp=sharing"",""ลำพูน!M497"")"),0)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IFERROR(__xludf.DUMMYFUNCTION("IMPORTRANGE(""https://docs.google.com/spreadsheets/d/11923uPwbBZFjjGgGUA6NLw09EwE0CqkOc4q9oUmW1yo/edit?usp=sharing"",""ลำพูน!M498"")"),0)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IFERROR(__xludf.DUMMYFUNCTION("IMPORTRANGE(""https://docs.google.com/spreadsheets/d/11923uPwbBZFjjGgGUA6NLw09EwE0CqkOc4q9oUmW1yo/edit?usp=sharing"",""ลำพูน!M499"")"),0)</f>
        <v>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IFERROR(__xludf.DUMMYFUNCTION("IMPORTRANGE(""https://docs.google.com/spreadsheets/d/11923uPwbBZFjjGgGUA6NLw09EwE0CqkOc4q9oUmW1yo/edit?usp=sharing"",""ลำพูน!M500"")"),850)</f>
        <v>850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IFERROR(__xludf.DUMMYFUNCTION("IMPORTRANGE(""https://docs.google.com/spreadsheets/d/11923uPwbBZFjjGgGUA6NLw09EwE0CqkOc4q9oUmW1yo/edit?usp=sharing"",""ลำพูน!J502"")"),0)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IFERROR(__xludf.DUMMYFUNCTION("IMPORTRANGE(""https://docs.google.com/spreadsheets/d/11923uPwbBZFjjGgGUA6NLw09EwE0CqkOc4q9oUmW1yo/edit?usp=sharing"",""ลำพูน!J503"")"),1)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IFERROR(__xludf.DUMMYFUNCTION("IMPORTRANGE(""https://docs.google.com/spreadsheets/d/11923uPwbBZFjjGgGUA6NLw09EwE0CqkOc4q9oUmW1yo/edit?usp=sharing"",""ลำพูน!J166"")"),0)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IFERROR(__xludf.DUMMYFUNCTION("IMPORTRANGE(""https://docs.google.com/spreadsheets/d/11923uPwbBZFjjGgGUA6NLw09EwE0CqkOc4q9oUmW1yo/edit?usp=sharing"",""ลำพูน!J166"")"),0)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IFERROR(__xludf.DUMMYFUNCTION("IMPORTRANGE(""https://docs.google.com/spreadsheets/d/11923uPwbBZFjjGgGUA6NLw09EwE0CqkOc4q9oUmW1yo/edit?usp=sharing"",""ลำพูน!I506"")"),50)</f>
        <v>50</v>
      </c>
      <c r="J611" s="162">
        <f ca="1">IFERROR(__xludf.DUMMYFUNCTION("IMPORTRANGE(""https://docs.google.com/spreadsheets/d/11923uPwbBZFjjGgGUA6NLw09EwE0CqkOc4q9oUmW1yo/edit?usp=sharing"",""ลำพูน!J506"")"),0)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IFERROR(__xludf.DUMMYFUNCTION("IMPORTRANGE(""https://docs.google.com/spreadsheets/d/11923uPwbBZFjjGgGUA6NLw09EwE0CqkOc4q9oUmW1yo/edit?usp=sharing"",""ลำพูน!I507"")"),0)</f>
        <v>0</v>
      </c>
      <c r="J612" s="197">
        <f ca="1">IFERROR(__xludf.DUMMYFUNCTION("IMPORTRANGE(""https://docs.google.com/spreadsheets/d/11923uPwbBZFjjGgGUA6NLw09EwE0CqkOc4q9oUmW1yo/edit?usp=sharing"",""ลำพูน!J507"")"),50)</f>
        <v>50</v>
      </c>
      <c r="K612" s="163">
        <f t="shared" ca="1" si="127"/>
        <v>100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IFERROR(__xludf.DUMMYFUNCTION("IMPORTRANGE(""https://docs.google.com/spreadsheets/d/11923uPwbBZFjjGgGUA6NLw09EwE0CqkOc4q9oUmW1yo/edit?usp=sharing"",""ลำพูน!I508"")"),0)</f>
        <v>0</v>
      </c>
      <c r="J613" s="197">
        <f ca="1">IFERROR(__xludf.DUMMYFUNCTION("IMPORTRANGE(""https://docs.google.com/spreadsheets/d/11923uPwbBZFjjGgGUA6NLw09EwE0CqkOc4q9oUmW1yo/edit?usp=sharing"",""ลำพูน!J508"")"),50)</f>
        <v>50</v>
      </c>
      <c r="K613" s="163">
        <f t="shared" ca="1" si="127"/>
        <v>100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IFERROR(__xludf.DUMMYFUNCTION("IMPORTRANGE(""https://docs.google.com/spreadsheets/d/11923uPwbBZFjjGgGUA6NLw09EwE0CqkOc4q9oUmW1yo/edit?usp=sharing"",""ลำพูน!I509"")"),0)</f>
        <v>0</v>
      </c>
      <c r="J614" s="197">
        <f ca="1">IFERROR(__xludf.DUMMYFUNCTION("IMPORTRANGE(""https://docs.google.com/spreadsheets/d/11923uPwbBZFjjGgGUA6NLw09EwE0CqkOc4q9oUmW1yo/edit?usp=sharing"",""ลำพูน!J509"")"),50)</f>
        <v>50</v>
      </c>
      <c r="K614" s="163">
        <f t="shared" ca="1" si="127"/>
        <v>100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IFERROR(__xludf.DUMMYFUNCTION("IMPORTRANGE(""https://docs.google.com/spreadsheets/d/11923uPwbBZFjjGgGUA6NLw09EwE0CqkOc4q9oUmW1yo/edit?usp=sharing"",""ลำพูน!I510"")"),0)</f>
        <v>0</v>
      </c>
      <c r="J615" s="197">
        <f ca="1">IFERROR(__xludf.DUMMYFUNCTION("IMPORTRANGE(""https://docs.google.com/spreadsheets/d/11923uPwbBZFjjGgGUA6NLw09EwE0CqkOc4q9oUmW1yo/edit?usp=sharing"",""ลำพูน!J510"")"),50)</f>
        <v>50</v>
      </c>
      <c r="K615" s="163">
        <f t="shared" ca="1" si="127"/>
        <v>100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IFERROR(__xludf.DUMMYFUNCTION("IMPORTRANGE(""https://docs.google.com/spreadsheets/d/11923uPwbBZFjjGgGUA6NLw09EwE0CqkOc4q9oUmW1yo/edit?usp=sharing"",""ลำพูน!I511"")"),0)</f>
        <v>0</v>
      </c>
      <c r="J616" s="197">
        <f ca="1">IFERROR(__xludf.DUMMYFUNCTION("IMPORTRANGE(""https://docs.google.com/spreadsheets/d/11923uPwbBZFjjGgGUA6NLw09EwE0CqkOc4q9oUmW1yo/edit?usp=sharing"",""ลำพูน!J511"")"),50)</f>
        <v>50</v>
      </c>
      <c r="K616" s="163">
        <f t="shared" ca="1" si="127"/>
        <v>100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IFERROR(__xludf.DUMMYFUNCTION("IMPORTRANGE(""https://docs.google.com/spreadsheets/d/11923uPwbBZFjjGgGUA6NLw09EwE0CqkOc4q9oUmW1yo/edit?usp=sharing"",""ลำพูน!I512"")"),0)</f>
        <v>0</v>
      </c>
      <c r="J617" s="187">
        <f ca="1">IFERROR(__xludf.DUMMYFUNCTION("IMPORTRANGE(""https://docs.google.com/spreadsheets/d/11923uPwbBZFjjGgGUA6NLw09EwE0CqkOc4q9oUmW1yo/edit?usp=sharing"",""ลำพูน!J512"")"),0)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IFERROR(__xludf.DUMMYFUNCTION("IMPORTRANGE(""https://docs.google.com/spreadsheets/d/11923uPwbBZFjjGgGUA6NLw09EwE0CqkOc4q9oUmW1yo/edit?usp=sharing"",""ลำพูน!I513"")"),0)</f>
        <v>0</v>
      </c>
      <c r="J618" s="188">
        <f ca="1">IFERROR(__xludf.DUMMYFUNCTION("IMPORTRANGE(""https://docs.google.com/spreadsheets/d/11923uPwbBZFjjGgGUA6NLw09EwE0CqkOc4q9oUmW1yo/edit?usp=sharing"",""ลำพูน!J513"")"),0)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IFERROR(__xludf.DUMMYFUNCTION("IMPORTRANGE(""https://docs.google.com/spreadsheets/d/11923uPwbBZFjjGgGUA6NLw09EwE0CqkOc4q9oUmW1yo/edit?usp=sharing"",""ลำพูน!I514"")"),0)</f>
        <v>0</v>
      </c>
      <c r="J619" s="188">
        <f ca="1">IFERROR(__xludf.DUMMYFUNCTION("IMPORTRANGE(""https://docs.google.com/spreadsheets/d/11923uPwbBZFjjGgGUA6NLw09EwE0CqkOc4q9oUmW1yo/edit?usp=sharing"",""ลำพูน!J514"")"),0)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IFERROR(__xludf.DUMMYFUNCTION("IMPORTRANGE(""https://docs.google.com/spreadsheets/d/11923uPwbBZFjjGgGUA6NLw09EwE0CqkOc4q9oUmW1yo/edit?usp=sharing"",""ลำพูน!I515"")"),0)</f>
        <v>0</v>
      </c>
      <c r="J620" s="202">
        <f ca="1">IFERROR(__xludf.DUMMYFUNCTION("IMPORTRANGE(""https://docs.google.com/spreadsheets/d/11923uPwbBZFjjGgGUA6NLw09EwE0CqkOc4q9oUmW1yo/edit?usp=sharing"",""ลำพูน!J515"")"),0)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IFERROR(__xludf.DUMMYFUNCTION("IMPORTRANGE(""https://docs.google.com/spreadsheets/d/11923uPwbBZFjjGgGUA6NLw09EwE0CqkOc4q9oUmW1yo/edit?usp=sharing"",""ลำพูน!I516"")"),0)</f>
        <v>0</v>
      </c>
      <c r="J621" s="202">
        <f ca="1">IFERROR(__xludf.DUMMYFUNCTION("IMPORTRANGE(""https://docs.google.com/spreadsheets/d/11923uPwbBZFjjGgGUA6NLw09EwE0CqkOc4q9oUmW1yo/edit?usp=sharing"",""ลำพูน!J516"")"),0)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IFERROR(__xludf.DUMMYFUNCTION("IMPORTRANGE(""https://docs.google.com/spreadsheets/d/11923uPwbBZFjjGgGUA6NLw09EwE0CqkOc4q9oUmW1yo/edit?usp=sharing"",""ลำพูน!I517"")"),0)</f>
        <v>0</v>
      </c>
      <c r="J622" s="188">
        <f ca="1">IFERROR(__xludf.DUMMYFUNCTION("IMPORTRANGE(""https://docs.google.com/spreadsheets/d/11923uPwbBZFjjGgGUA6NLw09EwE0CqkOc4q9oUmW1yo/edit?usp=sharing"",""ลำพูน!J517"")"),0)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IFERROR(__xludf.DUMMYFUNCTION("IMPORTRANGE(""https://docs.google.com/spreadsheets/d/11923uPwbBZFjjGgGUA6NLw09EwE0CqkOc4q9oUmW1yo/edit?usp=sharing"",""ลำพูน!I518"")"),0)</f>
        <v>0</v>
      </c>
      <c r="J623" s="188">
        <f ca="1">IFERROR(__xludf.DUMMYFUNCTION("IMPORTRANGE(""https://docs.google.com/spreadsheets/d/11923uPwbBZFjjGgGUA6NLw09EwE0CqkOc4q9oUmW1yo/edit?usp=sharing"",""ลำพูน!J518"")"),0)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IFERROR(__xludf.DUMMYFUNCTION("IMPORTRANGE(""https://docs.google.com/spreadsheets/d/11923uPwbBZFjjGgGUA6NLw09EwE0CqkOc4q9oUmW1yo/edit?usp=sharing"",""ลำพูน!I519"")"),0)</f>
        <v>0</v>
      </c>
      <c r="J624" s="187">
        <f ca="1">IFERROR(__xludf.DUMMYFUNCTION("IMPORTRANGE(""https://docs.google.com/spreadsheets/d/11923uPwbBZFjjGgGUA6NLw09EwE0CqkOc4q9oUmW1yo/edit?usp=sharing"",""ลำพูน!J519"")"),0)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IFERROR(__xludf.DUMMYFUNCTION("IMPORTRANGE(""https://docs.google.com/spreadsheets/d/11923uPwbBZFjjGgGUA6NLw09EwE0CqkOc4q9oUmW1yo/edit?usp=sharing"",""ลำพูน!I520"")"),0)</f>
        <v>0</v>
      </c>
      <c r="J625" s="188">
        <f ca="1">IFERROR(__xludf.DUMMYFUNCTION("IMPORTRANGE(""https://docs.google.com/spreadsheets/d/11923uPwbBZFjjGgGUA6NLw09EwE0CqkOc4q9oUmW1yo/edit?usp=sharing"",""ลำพูน!J520"")"),0)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IFERROR(__xludf.DUMMYFUNCTION("IMPORTRANGE(""https://docs.google.com/spreadsheets/d/11923uPwbBZFjjGgGUA6NLw09EwE0CqkOc4q9oUmW1yo/edit?usp=sharing"",""ลำพูน!I521"")"),0)</f>
        <v>0</v>
      </c>
      <c r="J626" s="188">
        <f ca="1">IFERROR(__xludf.DUMMYFUNCTION("IMPORTRANGE(""https://docs.google.com/spreadsheets/d/11923uPwbBZFjjGgGUA6NLw09EwE0CqkOc4q9oUmW1yo/edit?usp=sharing"",""ลำพูน!J521"")"),0)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IFERROR(__xludf.DUMMYFUNCTION("IMPORTRANGE(""https://docs.google.com/spreadsheets/d/11923uPwbBZFjjGgGUA6NLw09EwE0CqkOc4q9oUmW1yo/edit?usp=sharing"",""ลำพูน!I523"")"),6577500)</f>
        <v>6577500</v>
      </c>
      <c r="J628" s="339">
        <f ca="1">IFERROR(__xludf.DUMMYFUNCTION("IMPORTRANGE(""https://docs.google.com/spreadsheets/d/11923uPwbBZFjjGgGUA6NLw09EwE0CqkOc4q9oUmW1yo/edit?usp=sharing"",""ลำพูน!J523"")"),2730047)</f>
        <v>2730047</v>
      </c>
      <c r="K628" s="340">
        <f t="shared" ref="K628:K635" ca="1" si="129">IF(I628&gt;0,J628*100/I628,0)</f>
        <v>41.505845686050932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IFERROR(__xludf.DUMMYFUNCTION("IMPORTRANGE(""https://docs.google.com/spreadsheets/d/11923uPwbBZFjjGgGUA6NLw09EwE0CqkOc4q9oUmW1yo/edit?usp=sharing"",""ลำพูน!I524"")"),219)</f>
        <v>219</v>
      </c>
      <c r="J629" s="339">
        <f ca="1">IFERROR(__xludf.DUMMYFUNCTION("IMPORTRANGE(""https://docs.google.com/spreadsheets/d/11923uPwbBZFjjGgGUA6NLw09EwE0CqkOc4q9oUmW1yo/edit?usp=sharing"",""ลำพูน!J524"")"),95)</f>
        <v>95</v>
      </c>
      <c r="K629" s="340">
        <f t="shared" ca="1" si="129"/>
        <v>43.378995433789953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39">
        <f ca="1">IFERROR(__xludf.DUMMYFUNCTION("IMPORTRANGE(""https://docs.google.com/spreadsheets/d/11923uPwbBZFjjGgGUA6NLw09EwE0CqkOc4q9oUmW1yo/edit?usp=sharing"",""ลำพูน!J525"")"),120739.11)</f>
        <v>120739.11</v>
      </c>
      <c r="K630" s="340">
        <f t="shared" ca="1" si="129"/>
        <v>2.2109082928494463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IFERROR(__xludf.DUMMYFUNCTION("IMPORTRANGE(""https://docs.google.com/spreadsheets/d/11923uPwbBZFjjGgGUA6NLw09EwE0CqkOc4q9oUmW1yo/edit?usp=sharing"",""ลำพูน!I526"")"),213)</f>
        <v>213</v>
      </c>
      <c r="J631" s="339">
        <f ca="1">IFERROR(__xludf.DUMMYFUNCTION("IMPORTRANGE(""https://docs.google.com/spreadsheets/d/11923uPwbBZFjjGgGUA6NLw09EwE0CqkOc4q9oUmW1yo/edit?usp=sharing"",""ลำพูน!J526"")"),22)</f>
        <v>22</v>
      </c>
      <c r="K631" s="340">
        <f t="shared" ca="1" si="129"/>
        <v>10.328638497652582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IFERROR(__xludf.DUMMYFUNCTION("IMPORTRANGE(""https://docs.google.com/spreadsheets/d/11923uPwbBZFjjGgGUA6NLw09EwE0CqkOc4q9oUmW1yo/edit?usp=sharing"",""ลำพูน!I527"")"),3460652.83)</f>
        <v>3460652.83</v>
      </c>
      <c r="J632" s="339">
        <f ca="1">IFERROR(__xludf.DUMMYFUNCTION("IMPORTRANGE(""https://docs.google.com/spreadsheets/d/11923uPwbBZFjjGgGUA6NLw09EwE0CqkOc4q9oUmW1yo/edit?usp=sharing"",""ลำพูน!J527"")"),209545.48)</f>
        <v>209545.48</v>
      </c>
      <c r="K632" s="340">
        <f t="shared" ca="1" si="129"/>
        <v>6.0550852770747303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IFERROR(__xludf.DUMMYFUNCTION("IMPORTRANGE(""https://docs.google.com/spreadsheets/d/11923uPwbBZFjjGgGUA6NLw09EwE0CqkOc4q9oUmW1yo/edit?usp=sharing"",""ลำพูน!I528"")"),468)</f>
        <v>468</v>
      </c>
      <c r="J633" s="339">
        <f ca="1">IFERROR(__xludf.DUMMYFUNCTION("IMPORTRANGE(""https://docs.google.com/spreadsheets/d/11923uPwbBZFjjGgGUA6NLw09EwE0CqkOc4q9oUmW1yo/edit?usp=sharing"",""ลำพูน!J528"")"),59)</f>
        <v>59</v>
      </c>
      <c r="K633" s="340">
        <f t="shared" ca="1" si="129"/>
        <v>12.606837606837606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IFERROR(__xludf.DUMMYFUNCTION("IMPORTRANGE(""https://docs.google.com/spreadsheets/d/11923uPwbBZFjjGgGUA6NLw09EwE0CqkOc4q9oUmW1yo/edit?usp=sharing"",""ลำพูน!I529"")"),7000000)</f>
        <v>7000000</v>
      </c>
      <c r="J634" s="339">
        <f ca="1">IFERROR(__xludf.DUMMYFUNCTION("IMPORTRANGE(""https://docs.google.com/spreadsheets/d/11923uPwbBZFjjGgGUA6NLw09EwE0CqkOc4q9oUmW1yo/edit?usp=sharing"",""ลำพูน!J529"")"),2260000)</f>
        <v>2260000</v>
      </c>
      <c r="K634" s="340">
        <f t="shared" ca="1" si="129"/>
        <v>32.285714285714285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IFERROR(__xludf.DUMMYFUNCTION("IMPORTRANGE(""https://docs.google.com/spreadsheets/d/11923uPwbBZFjjGgGUA6NLw09EwE0CqkOc4q9oUmW1yo/edit?usp=sharing"",""ลำพูน!I530"")"),230)</f>
        <v>230</v>
      </c>
      <c r="J635" s="502">
        <f ca="1">IFERROR(__xludf.DUMMYFUNCTION("IMPORTRANGE(""https://docs.google.com/spreadsheets/d/11923uPwbBZFjjGgGUA6NLw09EwE0CqkOc4q9oUmW1yo/edit?usp=sharing"",""ลำพูน!J530"")"),72)</f>
        <v>72</v>
      </c>
      <c r="K635" s="484">
        <f t="shared" ca="1" si="129"/>
        <v>31.304347826086957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10" width="13.90625" bestFit="1" customWidth="1"/>
    <col min="11" max="11" width="11" bestFit="1" customWidth="1"/>
    <col min="12" max="13" width="20.08984375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266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5435348</v>
      </c>
      <c r="M8" s="23">
        <f t="shared" ca="1" si="0"/>
        <v>2123565</v>
      </c>
      <c r="N8" s="23">
        <f t="shared" ca="1" si="0"/>
        <v>2240456.48</v>
      </c>
      <c r="O8" s="22">
        <f t="shared" ref="O8:O16" ca="1" si="1">IF(L8&gt;0,N8*100/L8,0)</f>
        <v>41.220111021410219</v>
      </c>
      <c r="P8" s="22">
        <f t="shared" ref="P8:P16" ca="1" si="2">IF(M8&gt;0,N8*100/M8,0)</f>
        <v>105.50449268093983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5435348</v>
      </c>
      <c r="M10" s="30">
        <f t="shared" ca="1" si="4"/>
        <v>2123565</v>
      </c>
      <c r="N10" s="30">
        <f t="shared" ca="1" si="4"/>
        <v>2240456.48</v>
      </c>
      <c r="O10" s="29">
        <f t="shared" ca="1" si="1"/>
        <v>41.220111021410219</v>
      </c>
      <c r="P10" s="29">
        <f t="shared" ca="1" si="2"/>
        <v>105.50449268093983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5259348</v>
      </c>
      <c r="M12" s="38">
        <f t="shared" ca="1" si="6"/>
        <v>1947565</v>
      </c>
      <c r="N12" s="38">
        <f t="shared" ca="1" si="6"/>
        <v>2064456.48</v>
      </c>
      <c r="O12" s="38">
        <f t="shared" ca="1" si="1"/>
        <v>39.253087645084527</v>
      </c>
      <c r="P12" s="38">
        <f t="shared" ca="1" si="2"/>
        <v>106.0019295889996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2053100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3206248</v>
      </c>
      <c r="M14" s="38">
        <f t="shared" si="8"/>
        <v>0</v>
      </c>
      <c r="N14" s="38">
        <f t="shared" ca="1" si="8"/>
        <v>509265.48</v>
      </c>
      <c r="O14" s="38">
        <f t="shared" ca="1" si="1"/>
        <v>15.883533650547307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176000</v>
      </c>
      <c r="M16" s="38">
        <f t="shared" ca="1" si="10"/>
        <v>176000</v>
      </c>
      <c r="N16" s="38">
        <f t="shared" ca="1" si="10"/>
        <v>176000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3474365</v>
      </c>
      <c r="M18" s="23">
        <f t="shared" ca="1" si="11"/>
        <v>2123565</v>
      </c>
      <c r="N18" s="23">
        <f t="shared" ca="1" si="11"/>
        <v>1731191</v>
      </c>
      <c r="O18" s="22">
        <f t="shared" ref="O18:O20" ca="1" si="12">IF(L18&gt;0,N18*100/L18,0)</f>
        <v>49.827551221590134</v>
      </c>
      <c r="P18" s="22">
        <f t="shared" ref="P18:P26" ca="1" si="13">IF(M18&gt;0,N18*100/M18,0)</f>
        <v>81.522863674999357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3474365</v>
      </c>
      <c r="M20" s="30">
        <f t="shared" ca="1" si="15"/>
        <v>2123565</v>
      </c>
      <c r="N20" s="30">
        <f t="shared" ca="1" si="15"/>
        <v>1731191</v>
      </c>
      <c r="O20" s="29">
        <f t="shared" ca="1" si="12"/>
        <v>49.827551221590134</v>
      </c>
      <c r="P20" s="29">
        <f t="shared" ca="1" si="13"/>
        <v>81.522863674999357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3298365</v>
      </c>
      <c r="M22" s="41">
        <f t="shared" ca="1" si="18"/>
        <v>1947565</v>
      </c>
      <c r="N22" s="38">
        <f t="shared" ca="1" si="18"/>
        <v>1555191</v>
      </c>
      <c r="O22" s="38">
        <f t="shared" ca="1" si="17"/>
        <v>47.15036086060821</v>
      </c>
      <c r="P22" s="38">
        <f t="shared" ca="1" si="13"/>
        <v>79.853098612883272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2053100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1245265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176000</v>
      </c>
      <c r="M26" s="49">
        <f t="shared" ca="1" si="22"/>
        <v>176000</v>
      </c>
      <c r="N26" s="49">
        <f t="shared" ca="1" si="22"/>
        <v>176000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1960983</v>
      </c>
      <c r="M28" s="23">
        <f t="shared" si="23"/>
        <v>0</v>
      </c>
      <c r="N28" s="23">
        <f t="shared" ca="1" si="23"/>
        <v>509265.48</v>
      </c>
      <c r="O28" s="22">
        <f t="shared" ref="O28:O30" ca="1" si="24">IF(L28&gt;0,N28*100/L28,0)</f>
        <v>25.969907949227505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1960983</v>
      </c>
      <c r="M30" s="30">
        <f t="shared" si="27"/>
        <v>0</v>
      </c>
      <c r="N30" s="30">
        <f t="shared" ca="1" si="27"/>
        <v>509265.48</v>
      </c>
      <c r="O30" s="29">
        <f t="shared" ca="1" si="24"/>
        <v>25.969907949227505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1960983</v>
      </c>
      <c r="M32" s="38">
        <f t="shared" si="30"/>
        <v>0</v>
      </c>
      <c r="N32" s="38">
        <f t="shared" ca="1" si="30"/>
        <v>509265.48</v>
      </c>
      <c r="O32" s="38">
        <f t="shared" ca="1" si="29"/>
        <v>25.969907949227505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1960983</v>
      </c>
      <c r="M34" s="38">
        <f t="shared" si="32"/>
        <v>0</v>
      </c>
      <c r="N34" s="38">
        <f t="shared" ca="1" si="32"/>
        <v>509265.48</v>
      </c>
      <c r="O34" s="38">
        <f t="shared" ca="1" si="29"/>
        <v>25.969907949227505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3474365</v>
      </c>
      <c r="M37" s="54">
        <f t="shared" ca="1" si="33"/>
        <v>2123565</v>
      </c>
      <c r="N37" s="54">
        <f t="shared" ca="1" si="33"/>
        <v>1731191</v>
      </c>
      <c r="O37" s="55">
        <f t="shared" ca="1" si="29"/>
        <v>49.827551221590134</v>
      </c>
      <c r="P37" s="55">
        <f t="shared" ca="1" si="25"/>
        <v>81.522863674999357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777100</v>
      </c>
      <c r="M41" s="78">
        <f t="shared" ca="1" si="34"/>
        <v>447520</v>
      </c>
      <c r="N41" s="78">
        <f t="shared" ca="1" si="34"/>
        <v>350399</v>
      </c>
      <c r="O41" s="77">
        <f t="shared" ref="O41:O43" ca="1" si="35">IF(L41&gt;0,N41*100/L41,0)</f>
        <v>45.09059323124437</v>
      </c>
      <c r="P41" s="77">
        <f t="shared" ref="P41:P43" ca="1" si="36">IF(M41&gt;0,N41*100/M41,0)</f>
        <v>78.297953164104399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777100</v>
      </c>
      <c r="M43" s="78">
        <f t="shared" ca="1" si="38"/>
        <v>447520</v>
      </c>
      <c r="N43" s="78">
        <f t="shared" ca="1" si="38"/>
        <v>350399</v>
      </c>
      <c r="O43" s="77">
        <f t="shared" ca="1" si="35"/>
        <v>45.09059323124437</v>
      </c>
      <c r="P43" s="77">
        <f t="shared" ca="1" si="36"/>
        <v>78.297953164104399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751100</v>
      </c>
      <c r="M45" s="49">
        <f ca="1">IFERROR(__xludf.DUMMYFUNCTION("IMPORTRANGE(""https://docs.google.com/spreadsheets/d/1Yj_ptqi66GCucihVvJfMjLAmec39IyEx_6qawtMGysU/edit?usp=sharing"",""สบก!Q34"")"),421520)</f>
        <v>421520</v>
      </c>
      <c r="N45" s="49">
        <f ca="1">IFERROR(__xludf.DUMMYFUNCTION("IMPORTRANGE(""https://docs.google.com/spreadsheets/d/1Yj_ptqi66GCucihVvJfMjLAmec39IyEx_6qawtMGysU/edit?usp=sharing"",""สบก!R34"")"),324399)</f>
        <v>324399</v>
      </c>
      <c r="O45" s="38">
        <f ca="1">IF(L45&gt;0,N45*100/L45,0)</f>
        <v>43.189854879510051</v>
      </c>
      <c r="P45" s="38">
        <f ca="1">IF(M45&gt;0,N45*100/M45,0)</f>
        <v>76.959337635224898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IFERROR(__xludf.DUMMYFUNCTION("IMPORTRANGE(""https://docs.google.com/spreadsheets/d/1Yj_ptqi66GCucihVvJfMjLAmec39IyEx_6qawtMGysU/edit?usp=sharing"",""สบก!M34"")"),751100)</f>
        <v>751100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IFERROR(__xludf.DUMMYFUNCTION("IMPORTRANGE(""https://docs.google.com/spreadsheets/d/1Yj_ptqi66GCucihVvJfMjLAmec39IyEx_6qawtMGysU/edit?usp=sharing"",""สบก!N34"")"),0)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IFERROR(__xludf.DUMMYFUNCTION("IMPORTRANGE(""https://docs.google.com/spreadsheets/d/1Yj_ptqi66GCucihVvJfMjLAmec39IyEx_6qawtMGysU/edit?usp=sharing"",""สบก!O34"")"),26000)</f>
        <v>26000</v>
      </c>
      <c r="M49" s="49">
        <f ca="1">L49</f>
        <v>26000</v>
      </c>
      <c r="N49" s="49">
        <f ca="1">IFERROR(__xludf.DUMMYFUNCTION("IMPORTRANGE(""https://docs.google.com/spreadsheets/d/1Yj_ptqi66GCucihVvJfMjLAmec39IyEx_6qawtMGysU/edit?usp=sharing"",""สบก!S34"")"),26000)</f>
        <v>26000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450000</v>
      </c>
      <c r="M53" s="120">
        <f t="shared" ca="1" si="39"/>
        <v>326960</v>
      </c>
      <c r="N53" s="120">
        <f t="shared" ca="1" si="39"/>
        <v>324491</v>
      </c>
      <c r="O53" s="119">
        <f t="shared" ref="O53:O55" ca="1" si="40">IF(L53&gt;0,N53*100/L53,0)</f>
        <v>72.109111111111105</v>
      </c>
      <c r="P53" s="119">
        <f t="shared" ref="P53:P55" ca="1" si="41">IF(M53&gt;0,N53*100/M53,0)</f>
        <v>99.244861756789817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450000</v>
      </c>
      <c r="M55" s="120">
        <f t="shared" ca="1" si="43"/>
        <v>326960</v>
      </c>
      <c r="N55" s="120">
        <f t="shared" ca="1" si="43"/>
        <v>324491</v>
      </c>
      <c r="O55" s="119">
        <f t="shared" ca="1" si="40"/>
        <v>72.109111111111105</v>
      </c>
      <c r="P55" s="119">
        <f t="shared" ca="1" si="41"/>
        <v>99.244861756789817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IFERROR(__xludf.DUMMYFUNCTION("IMPORTRANGE(""https://docs.google.com/spreadsheets/d/1Yj_ptqi66GCucihVvJfMjLAmec39IyEx_6qawtMGysU/edit?usp=sharing"",""สบก!Z34"")"),326960)</f>
        <v>326960</v>
      </c>
      <c r="N57" s="49">
        <f ca="1">IFERROR(__xludf.DUMMYFUNCTION("IMPORTRANGE(""https://docs.google.com/spreadsheets/d/1Yj_ptqi66GCucihVvJfMjLAmec39IyEx_6qawtMGysU/edit?usp=sharing"",""สบก!AA34"")"),324491)</f>
        <v>324491</v>
      </c>
      <c r="O57" s="38">
        <f ca="1">IF(L57&gt;0,N57*100/L57,0)</f>
        <v>72.109111111111105</v>
      </c>
      <c r="P57" s="38">
        <f ca="1">IF(M57&gt;0,N57*100/M57,0)</f>
        <v>99.244861756789817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IFERROR(__xludf.DUMMYFUNCTION("IMPORTRANGE(""https://docs.google.com/spreadsheets/d/1Yj_ptqi66GCucihVvJfMjLAmec39IyEx_6qawtMGysU/edit?usp=sharing"",""สบก!V34"")"),450000)</f>
        <v>450000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IFERROR(__xludf.DUMMYFUNCTION("IMPORTRANGE(""https://docs.google.com/spreadsheets/d/1Yj_ptqi66GCucihVvJfMjLAmec39IyEx_6qawtMGysU/edit?usp=sharing"",""สบก!W34"")"),0)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IFERROR(__xludf.DUMMYFUNCTION("IMPORTRANGE(""https://docs.google.com/spreadsheets/d/1Yj_ptqi66GCucihVvJfMjLAmec39IyEx_6qawtMGysU/edit?usp=sharing"",""สบก!X34"")"),0)</f>
        <v>0</v>
      </c>
      <c r="M61" s="49"/>
      <c r="N61" s="49">
        <f ca="1">IFERROR(__xludf.DUMMYFUNCTION("IMPORTRANGE(""https://docs.google.com/spreadsheets/d/1Yj_ptqi66GCucihVvJfMjLAmec39IyEx_6qawtMGysU/edit?usp=sharing"",""สบก!AB34"")"),0)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IFERROR(__xludf.DUMMYFUNCTION("IMPORTRANGE(""https://docs.google.com/spreadsheets/d/11923uPwbBZFjjGgGUA6NLw09EwE0CqkOc4q9oUmW1yo/edit?usp=sharing"",""สุโขทัย!I9"")"),1)</f>
        <v>1</v>
      </c>
      <c r="J64" s="141">
        <f ca="1">IFERROR(__xludf.DUMMYFUNCTION("IMPORTRANGE(""https://docs.google.com/spreadsheets/d/11923uPwbBZFjjGgGUA6NLw09EwE0CqkOc4q9oUmW1yo/edit?usp=sharing"",""สุโขทัย!J9"")"),1)</f>
        <v>1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IFERROR(__xludf.DUMMYFUNCTION("IMPORTRANGE(""https://docs.google.com/spreadsheets/d/11923uPwbBZFjjGgGUA6NLw09EwE0CqkOc4q9oUmW1yo/edit?usp=sharing"",""สุโขทัย!I10"")"),75)</f>
        <v>75</v>
      </c>
      <c r="J65" s="141">
        <f ca="1">IFERROR(__xludf.DUMMYFUNCTION("IMPORTRANGE(""https://docs.google.com/spreadsheets/d/11923uPwbBZFjjGgGUA6NLw09EwE0CqkOc4q9oUmW1yo/edit?usp=sharing"",""สุโขทัย!J10"")"),75)</f>
        <v>75</v>
      </c>
      <c r="K65" s="142">
        <f t="shared" ca="1" si="44"/>
        <v>100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956800</v>
      </c>
      <c r="M66" s="151">
        <f t="shared" ca="1" si="45"/>
        <v>590020</v>
      </c>
      <c r="N66" s="151">
        <f t="shared" ca="1" si="45"/>
        <v>506522</v>
      </c>
      <c r="O66" s="150">
        <f t="shared" ref="O66:O68" ca="1" si="46">IF(L66&gt;0,N66*100/L66,0)</f>
        <v>52.939172240802677</v>
      </c>
      <c r="P66" s="150">
        <f t="shared" ref="P66:P68" ca="1" si="47">IF(M66&gt;0,N66*100/M66,0)</f>
        <v>85.848276329615942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956800</v>
      </c>
      <c r="M68" s="87">
        <f t="shared" ca="1" si="49"/>
        <v>590020</v>
      </c>
      <c r="N68" s="87">
        <f t="shared" ca="1" si="49"/>
        <v>506522</v>
      </c>
      <c r="O68" s="155">
        <f t="shared" ca="1" si="46"/>
        <v>52.939172240802677</v>
      </c>
      <c r="P68" s="155">
        <f t="shared" ca="1" si="47"/>
        <v>85.848276329615942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806800</v>
      </c>
      <c r="M70" s="167">
        <f ca="1">IFERROR(__xludf.DUMMYFUNCTION("IMPORTRANGE(""https://docs.google.com/spreadsheets/d/1Yj_ptqi66GCucihVvJfMjLAmec39IyEx_6qawtMGysU/edit?usp=sharing"",""สบก!AI34"")"),440020)</f>
        <v>440020</v>
      </c>
      <c r="N70" s="168">
        <f ca="1">IFERROR(__xludf.DUMMYFUNCTION("IMPORTRANGE(""https://docs.google.com/spreadsheets/d/1Yj_ptqi66GCucihVvJfMjLAmec39IyEx_6qawtMGysU/edit?usp=sharing"",""สบก!AJ34"")"),356522)</f>
        <v>356522</v>
      </c>
      <c r="O70" s="168">
        <f ca="1">IF(L70&gt;0,N70*100/L70,0)</f>
        <v>44.189638076351017</v>
      </c>
      <c r="P70" s="168">
        <f ca="1">IF(M70&gt;0,N70*100/M70,0)</f>
        <v>81.024044361619929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IFERROR(__xludf.DUMMYFUNCTION("IMPORTRANGE(""https://docs.google.com/spreadsheets/d/1Yj_ptqi66GCucihVvJfMjLAmec39IyEx_6qawtMGysU/edit?usp=sharing"",""สบก!AE34"")"),190800)</f>
        <v>190800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IFERROR(__xludf.DUMMYFUNCTION("IMPORTRANGE(""https://docs.google.com/spreadsheets/d/1Yj_ptqi66GCucihVvJfMjLAmec39IyEx_6qawtMGysU/edit?usp=sharing"",""สบก!AF34"")"),616000)</f>
        <v>616000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IFERROR(__xludf.DUMMYFUNCTION("IMPORTRANGE(""https://docs.google.com/spreadsheets/d/1Yj_ptqi66GCucihVvJfMjLAmec39IyEx_6qawtMGysU/edit?usp=sharing"",""สบก!AG34"")"),150000)</f>
        <v>150000</v>
      </c>
      <c r="M74" s="49">
        <f ca="1">L74</f>
        <v>150000</v>
      </c>
      <c r="N74" s="49">
        <f ca="1">IFERROR(__xludf.DUMMYFUNCTION("IMPORTRANGE(""https://docs.google.com/spreadsheets/d/1Yj_ptqi66GCucihVvJfMjLAmec39IyEx_6qawtMGysU/edit?usp=sharing"",""สบก!AK34"")"),150000)</f>
        <v>150000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IFERROR(__xludf.DUMMYFUNCTION("IMPORTRANGE(""https://docs.google.com/spreadsheets/d/11923uPwbBZFjjGgGUA6NLw09EwE0CqkOc4q9oUmW1yo/edit?usp=sharing"",""สุโขทัย!J16"")"),0)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IFERROR(__xludf.DUMMYFUNCTION("IMPORTRANGE(""https://docs.google.com/spreadsheets/d/11923uPwbBZFjjGgGUA6NLw09EwE0CqkOc4q9oUmW1yo/edit?usp=sharing"",""สุโขทัย!J17"")"),1)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IFERROR(__xludf.DUMMYFUNCTION("IMPORTRANGE(""https://docs.google.com/spreadsheets/d/11923uPwbBZFjjGgGUA6NLw09EwE0CqkOc4q9oUmW1yo/edit?usp=sharing"",""สุโขทัย!J18"")"),1)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IFERROR(__xludf.DUMMYFUNCTION("IMPORTRANGE(""https://docs.google.com/spreadsheets/d/11923uPwbBZFjjGgGUA6NLw09EwE0CqkOc4q9oUmW1yo/edit?usp=sharing"",""สุโขทัย!J19"")"),1)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IFERROR(__xludf.DUMMYFUNCTION("IMPORTRANGE(""https://docs.google.com/spreadsheets/d/11923uPwbBZFjjGgGUA6NLw09EwE0CqkOc4q9oUmW1yo/edit?usp=sharing"",""สุโขทัย!I20"")"),1)</f>
        <v>1</v>
      </c>
      <c r="J80" s="200">
        <f ca="1">IFERROR(__xludf.DUMMYFUNCTION("IMPORTRANGE(""https://docs.google.com/spreadsheets/d/11923uPwbBZFjjGgGUA6NLw09EwE0CqkOc4q9oUmW1yo/edit?usp=sharing"",""สุโขทัย!J20"")"),1)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IFERROR(__xludf.DUMMYFUNCTION("IMPORTRANGE(""https://docs.google.com/spreadsheets/d/11923uPwbBZFjjGgGUA6NLw09EwE0CqkOc4q9oUmW1yo/edit?usp=sharing"",""สุโขทัย!I21"")"),75)</f>
        <v>75</v>
      </c>
      <c r="J81" s="200">
        <f ca="1">IFERROR(__xludf.DUMMYFUNCTION("IMPORTRANGE(""https://docs.google.com/spreadsheets/d/11923uPwbBZFjjGgGUA6NLw09EwE0CqkOc4q9oUmW1yo/edit?usp=sharing"",""สุโขทัย!J21"")"),75)</f>
        <v>75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IFERROR(__xludf.DUMMYFUNCTION("IMPORTRANGE(""https://docs.google.com/spreadsheets/d/11923uPwbBZFjjGgGUA6NLw09EwE0CqkOc4q9oUmW1yo/edit?usp=sharing"",""สุโขทัย!I22"")"),0)</f>
        <v>0</v>
      </c>
      <c r="J82" s="203">
        <f ca="1">IFERROR(__xludf.DUMMYFUNCTION("IMPORTRANGE(""https://docs.google.com/spreadsheets/d/11923uPwbBZFjjGgGUA6NLw09EwE0CqkOc4q9oUmW1yo/edit?usp=sharing"",""สุโขทัย!J22"")"),0)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IFERROR(__xludf.DUMMYFUNCTION("IMPORTRANGE(""https://docs.google.com/spreadsheets/d/11923uPwbBZFjjGgGUA6NLw09EwE0CqkOc4q9oUmW1yo/edit?usp=sharing"",""สุโขทัย!I23"")"),0)</f>
        <v>0</v>
      </c>
      <c r="J83" s="203">
        <f ca="1">IFERROR(__xludf.DUMMYFUNCTION("IMPORTRANGE(""https://docs.google.com/spreadsheets/d/11923uPwbBZFjjGgGUA6NLw09EwE0CqkOc4q9oUmW1yo/edit?usp=sharing"",""สุโขทัย!J23"")"),0)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IFERROR(__xludf.DUMMYFUNCTION("IMPORTRANGE(""https://docs.google.com/spreadsheets/d/11923uPwbBZFjjGgGUA6NLw09EwE0CqkOc4q9oUmW1yo/edit?usp=sharing"",""สุโขทัย!I24"")"),1)</f>
        <v>1</v>
      </c>
      <c r="J84" s="188">
        <f ca="1">IFERROR(__xludf.DUMMYFUNCTION("IMPORTRANGE(""https://docs.google.com/spreadsheets/d/11923uPwbBZFjjGgGUA6NLw09EwE0CqkOc4q9oUmW1yo/edit?usp=sharing"",""สุโขทัย!J24"")"),1)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IFERROR(__xludf.DUMMYFUNCTION("IMPORTRANGE(""https://docs.google.com/spreadsheets/d/11923uPwbBZFjjGgGUA6NLw09EwE0CqkOc4q9oUmW1yo/edit?usp=sharing"",""สุโขทัย!I25"")"),75)</f>
        <v>75</v>
      </c>
      <c r="J85" s="188">
        <f ca="1">IFERROR(__xludf.DUMMYFUNCTION("IMPORTRANGE(""https://docs.google.com/spreadsheets/d/11923uPwbBZFjjGgGUA6NLw09EwE0CqkOc4q9oUmW1yo/edit?usp=sharing"",""สุโขทัย!J25"")"),75)</f>
        <v>75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IFERROR(__xludf.DUMMYFUNCTION("IMPORTRANGE(""https://docs.google.com/spreadsheets/d/11923uPwbBZFjjGgGUA6NLw09EwE0CqkOc4q9oUmW1yo/edit?usp=sharing"",""สุโขทัย!I26"")"),0)</f>
        <v>0</v>
      </c>
      <c r="J86" s="203">
        <f ca="1">IFERROR(__xludf.DUMMYFUNCTION("IMPORTRANGE(""https://docs.google.com/spreadsheets/d/11923uPwbBZFjjGgGUA6NLw09EwE0CqkOc4q9oUmW1yo/edit?usp=sharing"",""สุโขทัย!J26"")"),0)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IFERROR(__xludf.DUMMYFUNCTION("IMPORTRANGE(""https://docs.google.com/spreadsheets/d/11923uPwbBZFjjGgGUA6NLw09EwE0CqkOc4q9oUmW1yo/edit?usp=sharing"",""สุโขทัย!I27"")"),0)</f>
        <v>0</v>
      </c>
      <c r="J87" s="203">
        <f ca="1">IFERROR(__xludf.DUMMYFUNCTION("IMPORTRANGE(""https://docs.google.com/spreadsheets/d/11923uPwbBZFjjGgGUA6NLw09EwE0CqkOc4q9oUmW1yo/edit?usp=sharing"",""สุโขทัย!J27"")"),0)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IFERROR(__xludf.DUMMYFUNCTION("IMPORTRANGE(""https://docs.google.com/spreadsheets/d/11923uPwbBZFjjGgGUA6NLw09EwE0CqkOc4q9oUmW1yo/edit?usp=sharing"",""สุโขทัย!I28"")"),0)</f>
        <v>0</v>
      </c>
      <c r="J88" s="203">
        <f ca="1">IFERROR(__xludf.DUMMYFUNCTION("IMPORTRANGE(""https://docs.google.com/spreadsheets/d/11923uPwbBZFjjGgGUA6NLw09EwE0CqkOc4q9oUmW1yo/edit?usp=sharing"",""สุโขทัย!J28"")"),0)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IFERROR(__xludf.DUMMYFUNCTION("IMPORTRANGE(""https://docs.google.com/spreadsheets/d/11923uPwbBZFjjGgGUA6NLw09EwE0CqkOc4q9oUmW1yo/edit?usp=sharing"",""สุโขทัย!J29"")"),0)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IFERROR(__xludf.DUMMYFUNCTION("IMPORTRANGE(""https://docs.google.com/spreadsheets/d/11923uPwbBZFjjGgGUA6NLw09EwE0CqkOc4q9oUmW1yo/edit?usp=sharing"",""สุโขทัย!J30"")"),0)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IFERROR(__xludf.DUMMYFUNCTION("IMPORTRANGE(""https://docs.google.com/spreadsheets/d/11923uPwbBZFjjGgGUA6NLw09EwE0CqkOc4q9oUmW1yo/edit?usp=sharing"",""สุโขทัย!I32"")"),0)</f>
        <v>0</v>
      </c>
      <c r="J92" s="141">
        <f ca="1">IFERROR(__xludf.DUMMYFUNCTION("IMPORTRANGE(""https://docs.google.com/spreadsheets/d/11923uPwbBZFjjGgGUA6NLw09EwE0CqkOc4q9oUmW1yo/edit?usp=sharing"",""สุโขทัย!J32"")"),0)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IFERROR(__xludf.DUMMYFUNCTION("IMPORTRANGE(""https://docs.google.com/spreadsheets/d/11923uPwbBZFjjGgGUA6NLw09EwE0CqkOc4q9oUmW1yo/edit?usp=sharing"",""สุโขทัย!I33"")"),0)</f>
        <v>0</v>
      </c>
      <c r="J93" s="141">
        <f ca="1">IFERROR(__xludf.DUMMYFUNCTION("IMPORTRANGE(""https://docs.google.com/spreadsheets/d/11923uPwbBZFjjGgGUA6NLw09EwE0CqkOc4q9oUmW1yo/edit?usp=sharing"",""สุโขทัย!J33"")"),0)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0</v>
      </c>
      <c r="M94" s="151">
        <f t="shared" ca="1" si="52"/>
        <v>0</v>
      </c>
      <c r="N94" s="151">
        <f t="shared" ca="1" si="52"/>
        <v>0</v>
      </c>
      <c r="O94" s="150">
        <f t="shared" ref="O94:O96" ca="1" si="53">IF(L94&gt;0,N94*100/L94,0)</f>
        <v>0</v>
      </c>
      <c r="P94" s="150">
        <f t="shared" ref="P94:P96" ca="1" si="54">IF(M94&gt;0,N94*100/M94,0)</f>
        <v>0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0</v>
      </c>
      <c r="M96" s="87">
        <f t="shared" ca="1" si="56"/>
        <v>0</v>
      </c>
      <c r="N96" s="87">
        <f t="shared" ca="1" si="56"/>
        <v>0</v>
      </c>
      <c r="O96" s="155">
        <f t="shared" ca="1" si="53"/>
        <v>0</v>
      </c>
      <c r="P96" s="155">
        <f t="shared" ca="1" si="54"/>
        <v>0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IFERROR(__xludf.DUMMYFUNCTION("IMPORTRANGE(""https://docs.google.com/spreadsheets/d/1Yj_ptqi66GCucihVvJfMjLAmec39IyEx_6qawtMGysU/edit?usp=sharing"",""สบก!AR34"")"),0)</f>
        <v>0</v>
      </c>
      <c r="N98" s="168">
        <f ca="1">IFERROR(__xludf.DUMMYFUNCTION("IMPORTRANGE(""https://docs.google.com/spreadsheets/d/1Yj_ptqi66GCucihVvJfMjLAmec39IyEx_6qawtMGysU/edit?usp=sharing"",""สบก!AS34"")"),0)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IFERROR(__xludf.DUMMYFUNCTION("IMPORTRANGE(""https://docs.google.com/spreadsheets/d/1Yj_ptqi66GCucihVvJfMjLAmec39IyEx_6qawtMGysU/edit?usp=sharing"",""สบก!AN34"")"),0)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IFERROR(__xludf.DUMMYFUNCTION("IMPORTRANGE(""https://docs.google.com/spreadsheets/d/1Yj_ptqi66GCucihVvJfMjLAmec39IyEx_6qawtMGysU/edit?usp=sharing"",""สบก!AO34"")"),0)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IFERROR(__xludf.DUMMYFUNCTION("IMPORTRANGE(""https://docs.google.com/spreadsheets/d/1Yj_ptqi66GCucihVvJfMjLAmec39IyEx_6qawtMGysU/edit?usp=sharing"",""สบก!AP34"")"),0)</f>
        <v>0</v>
      </c>
      <c r="M102" s="49"/>
      <c r="N102" s="49">
        <f ca="1">IFERROR(__xludf.DUMMYFUNCTION("IMPORTRANGE(""https://docs.google.com/spreadsheets/d/1Yj_ptqi66GCucihVvJfMjLAmec39IyEx_6qawtMGysU/edit?usp=sharing"",""สบก!AT34"")"),0)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IFERROR(__xludf.DUMMYFUNCTION("IMPORTRANGE(""https://docs.google.com/spreadsheets/d/11923uPwbBZFjjGgGUA6NLw09EwE0CqkOc4q9oUmW1yo/edit?usp=sharing"",""สุโขทัย!J39"")"),0)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IFERROR(__xludf.DUMMYFUNCTION("IMPORTRANGE(""https://docs.google.com/spreadsheets/d/11923uPwbBZFjjGgGUA6NLw09EwE0CqkOc4q9oUmW1yo/edit?usp=sharing"",""สุโขทัย!J40"")"),0)</f>
        <v>0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IFERROR(__xludf.DUMMYFUNCTION("IMPORTRANGE(""https://docs.google.com/spreadsheets/d/11923uPwbBZFjjGgGUA6NLw09EwE0CqkOc4q9oUmW1yo/edit?usp=sharing"",""สุโขทัย!J41"")"),0)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IFERROR(__xludf.DUMMYFUNCTION("IMPORTRANGE(""https://docs.google.com/spreadsheets/d/11923uPwbBZFjjGgGUA6NLw09EwE0CqkOc4q9oUmW1yo/edit?usp=sharing"",""สุโขทัย!J42"")"),0)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IFERROR(__xludf.DUMMYFUNCTION("IMPORTRANGE(""https://docs.google.com/spreadsheets/d/11923uPwbBZFjjGgGUA6NLw09EwE0CqkOc4q9oUmW1yo/edit?usp=sharing"",""สุโขทัย!I43"")"),0)</f>
        <v>0</v>
      </c>
      <c r="J108" s="203">
        <f ca="1">IFERROR(__xludf.DUMMYFUNCTION("IMPORTRANGE(""https://docs.google.com/spreadsheets/d/11923uPwbBZFjjGgGUA6NLw09EwE0CqkOc4q9oUmW1yo/edit?usp=sharing"",""สุโขทัย!J43"")"),0)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IFERROR(__xludf.DUMMYFUNCTION("IMPORTRANGE(""https://docs.google.com/spreadsheets/d/11923uPwbBZFjjGgGUA6NLw09EwE0CqkOc4q9oUmW1yo/edit?usp=sharing"",""สุโขทัย!I44"")"),0)</f>
        <v>0</v>
      </c>
      <c r="J109" s="203">
        <f ca="1">IFERROR(__xludf.DUMMYFUNCTION("IMPORTRANGE(""https://docs.google.com/spreadsheets/d/11923uPwbBZFjjGgGUA6NLw09EwE0CqkOc4q9oUmW1yo/edit?usp=sharing"",""สุโขทัย!J44"")"),0)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IFERROR(__xludf.DUMMYFUNCTION("IMPORTRANGE(""https://docs.google.com/spreadsheets/d/11923uPwbBZFjjGgGUA6NLw09EwE0CqkOc4q9oUmW1yo/edit?usp=sharing"",""สุโขทัย!I45"")"),0)</f>
        <v>0</v>
      </c>
      <c r="J110" s="203">
        <f ca="1">IFERROR(__xludf.DUMMYFUNCTION("IMPORTRANGE(""https://docs.google.com/spreadsheets/d/11923uPwbBZFjjGgGUA6NLw09EwE0CqkOc4q9oUmW1yo/edit?usp=sharing"",""สุโขทัย!J45"")"),0)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IFERROR(__xludf.DUMMYFUNCTION("IMPORTRANGE(""https://docs.google.com/spreadsheets/d/11923uPwbBZFjjGgGUA6NLw09EwE0CqkOc4q9oUmW1yo/edit?usp=sharing"",""สุโขทัย!I46"")"),0)</f>
        <v>0</v>
      </c>
      <c r="J111" s="203">
        <f ca="1">IFERROR(__xludf.DUMMYFUNCTION("IMPORTRANGE(""https://docs.google.com/spreadsheets/d/11923uPwbBZFjjGgGUA6NLw09EwE0CqkOc4q9oUmW1yo/edit?usp=sharing"",""สุโขทัย!J46"")"),0)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IFERROR(__xludf.DUMMYFUNCTION("IMPORTRANGE(""https://docs.google.com/spreadsheets/d/11923uPwbBZFjjGgGUA6NLw09EwE0CqkOc4q9oUmW1yo/edit?usp=sharing"",""สุโขทัย!I47"")"),0)</f>
        <v>0</v>
      </c>
      <c r="J112" s="203">
        <f ca="1">IFERROR(__xludf.DUMMYFUNCTION("IMPORTRANGE(""https://docs.google.com/spreadsheets/d/11923uPwbBZFjjGgGUA6NLw09EwE0CqkOc4q9oUmW1yo/edit?usp=sharing"",""สุโขทัย!J47"")"),0)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IFERROR(__xludf.DUMMYFUNCTION("IMPORTRANGE(""https://docs.google.com/spreadsheets/d/11923uPwbBZFjjGgGUA6NLw09EwE0CqkOc4q9oUmW1yo/edit?usp=sharing"",""สุโขทัย!I48"")"),0)</f>
        <v>0</v>
      </c>
      <c r="J113" s="203">
        <f ca="1">IFERROR(__xludf.DUMMYFUNCTION("IMPORTRANGE(""https://docs.google.com/spreadsheets/d/11923uPwbBZFjjGgGUA6NLw09EwE0CqkOc4q9oUmW1yo/edit?usp=sharing"",""สุโขทัย!J48"")"),0)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IFERROR(__xludf.DUMMYFUNCTION("IMPORTRANGE(""https://docs.google.com/spreadsheets/d/11923uPwbBZFjjGgGUA6NLw09EwE0CqkOc4q9oUmW1yo/edit?usp=sharing"",""สุโขทัย!J49"")"),0)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IFERROR(__xludf.DUMMYFUNCTION("IMPORTRANGE(""https://docs.google.com/spreadsheets/d/11923uPwbBZFjjGgGUA6NLw09EwE0CqkOc4q9oUmW1yo/edit?usp=sharing"",""สุโขทัย!J50"")"),0)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IFERROR(__xludf.DUMMYFUNCTION("IMPORTRANGE(""https://docs.google.com/spreadsheets/d/11923uPwbBZFjjGgGUA6NLw09EwE0CqkOc4q9oUmW1yo/edit?usp=sharing"",""สุโขทัย!I52"")"),20)</f>
        <v>20</v>
      </c>
      <c r="J117" s="141">
        <f ca="1">IFERROR(__xludf.DUMMYFUNCTION("IMPORTRANGE(""https://docs.google.com/spreadsheets/d/11923uPwbBZFjjGgGUA6NLw09EwE0CqkOc4q9oUmW1yo/edit?usp=sharing"",""สุโขทัย!J52"")"),20)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58430</v>
      </c>
      <c r="O118" s="150">
        <f t="shared" ref="O118:O120" ca="1" si="59">IF(L118&gt;0,N118*100/L118,0)</f>
        <v>70.875788452207672</v>
      </c>
      <c r="P118" s="150">
        <f t="shared" ref="P118:P120" ca="1" si="60">IF(M118&gt;0,N118*100/M118,0)</f>
        <v>87.94400963275136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58430</v>
      </c>
      <c r="O120" s="155">
        <f t="shared" ca="1" si="59"/>
        <v>70.875788452207672</v>
      </c>
      <c r="P120" s="155">
        <f t="shared" ca="1" si="60"/>
        <v>87.94400963275136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IFERROR(__xludf.DUMMYFUNCTION("IMPORTRANGE(""https://docs.google.com/spreadsheets/d/1Yj_ptqi66GCucihVvJfMjLAmec39IyEx_6qawtMGysU/edit?usp=sharing"",""สบก!BA34"")"),66440)</f>
        <v>66440</v>
      </c>
      <c r="N122" s="168">
        <f ca="1">IFERROR(__xludf.DUMMYFUNCTION("IMPORTRANGE(""https://docs.google.com/spreadsheets/d/1Yj_ptqi66GCucihVvJfMjLAmec39IyEx_6qawtMGysU/edit?usp=sharing"",""สบก!BB34"")"),58430)</f>
        <v>58430</v>
      </c>
      <c r="O122" s="168">
        <f ca="1">IF(L122&gt;0,N122*100/L122,0)</f>
        <v>70.875788452207672</v>
      </c>
      <c r="P122" s="168">
        <f ca="1">IF(M122&gt;0,N122*100/M122,0)</f>
        <v>87.94400963275136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IFERROR(__xludf.DUMMYFUNCTION("IMPORTRANGE(""https://docs.google.com/spreadsheets/d/1Yj_ptqi66GCucihVvJfMjLAmec39IyEx_6qawtMGysU/edit?usp=sharing"",""สบก!AW34"")"),0)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IFERROR(__xludf.DUMMYFUNCTION("IMPORTRANGE(""https://docs.google.com/spreadsheets/d/1Yj_ptqi66GCucihVvJfMjLAmec39IyEx_6qawtMGysU/edit?usp=sharing"",""สบก!AX34"")"),82440)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IFERROR(__xludf.DUMMYFUNCTION("IMPORTRANGE(""https://docs.google.com/spreadsheets/d/1Yj_ptqi66GCucihVvJfMjLAmec39IyEx_6qawtMGysU/edit?usp=sharing"",""สบก!AY34"")"),0)</f>
        <v>0</v>
      </c>
      <c r="M126" s="49"/>
      <c r="N126" s="49">
        <f ca="1">IFERROR(__xludf.DUMMYFUNCTION("IMPORTRANGE(""https://docs.google.com/spreadsheets/d/1Yj_ptqi66GCucihVvJfMjLAmec39IyEx_6qawtMGysU/edit?usp=sharing"",""สบก!BC34"")"),0)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267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IFERROR(__xludf.DUMMYFUNCTION("IMPORTRANGE(""https://docs.google.com/spreadsheets/d/11923uPwbBZFjjGgGUA6NLw09EwE0CqkOc4q9oUmW1yo/edit?usp=sharing"",""สุโขทัย!J58"")"),0)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IFERROR(__xludf.DUMMYFUNCTION("IMPORTRANGE(""https://docs.google.com/spreadsheets/d/11923uPwbBZFjjGgGUA6NLw09EwE0CqkOc4q9oUmW1yo/edit?usp=sharing"",""สุโขทัย!J59"")"),1)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IFERROR(__xludf.DUMMYFUNCTION("IMPORTRANGE(""https://docs.google.com/spreadsheets/d/11923uPwbBZFjjGgGUA6NLw09EwE0CqkOc4q9oUmW1yo/edit?usp=sharing"",""สุโขทัย!J60"")"),1)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IFERROR(__xludf.DUMMYFUNCTION("IMPORTRANGE(""https://docs.google.com/spreadsheets/d/11923uPwbBZFjjGgGUA6NLw09EwE0CqkOc4q9oUmW1yo/edit?usp=sharing"",""สุโขทัย!J61"")"),0)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IFERROR(__xludf.DUMMYFUNCTION("IMPORTRANGE(""https://docs.google.com/spreadsheets/d/11923uPwbBZFjjGgGUA6NLw09EwE0CqkOc4q9oUmW1yo/edit?usp=sharing"",""สุโขทัย!I62"")"),20)</f>
        <v>20</v>
      </c>
      <c r="J132" s="203">
        <f ca="1">IFERROR(__xludf.DUMMYFUNCTION("IMPORTRANGE(""https://docs.google.com/spreadsheets/d/11923uPwbBZFjjGgGUA6NLw09EwE0CqkOc4q9oUmW1yo/edit?usp=sharing"",""สุโขทัย!J62"")"),20)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IFERROR(__xludf.DUMMYFUNCTION("IMPORTRANGE(""https://docs.google.com/spreadsheets/d/11923uPwbBZFjjGgGUA6NLw09EwE0CqkOc4q9oUmW1yo/edit?usp=sharing"",""สุโขทัย!I63"")"),20)</f>
        <v>20</v>
      </c>
      <c r="J133" s="203">
        <f ca="1">IFERROR(__xludf.DUMMYFUNCTION("IMPORTRANGE(""https://docs.google.com/spreadsheets/d/11923uPwbBZFjjGgGUA6NLw09EwE0CqkOc4q9oUmW1yo/edit?usp=sharing"",""สุโขทัย!J63"")"),20)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IFERROR(__xludf.DUMMYFUNCTION("IMPORTRANGE(""https://docs.google.com/spreadsheets/d/11923uPwbBZFjjGgGUA6NLw09EwE0CqkOc4q9oUmW1yo/edit?usp=sharing"",""สุโขทัย!J64"")"),0)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IFERROR(__xludf.DUMMYFUNCTION("IMPORTRANGE(""https://docs.google.com/spreadsheets/d/11923uPwbBZFjjGgGUA6NLw09EwE0CqkOc4q9oUmW1yo/edit?usp=sharing"",""สุโขทัย!J65"")"),0)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IFERROR(__xludf.DUMMYFUNCTION("IMPORTRANGE(""https://docs.google.com/spreadsheets/d/11923uPwbBZFjjGgGUA6NLw09EwE0CqkOc4q9oUmW1yo/edit?usp=sharing"",""สุโขทัย!I68"")"),0)</f>
        <v>0</v>
      </c>
      <c r="J138" s="266">
        <f ca="1">IFERROR(__xludf.DUMMYFUNCTION("IMPORTRANGE(""https://docs.google.com/spreadsheets/d/11923uPwbBZFjjGgGUA6NLw09EwE0CqkOc4q9oUmW1yo/edit?usp=sharing"",""สุโขทัย!J68"")"),0)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83000</v>
      </c>
      <c r="M140" s="151">
        <f t="shared" ca="1" si="64"/>
        <v>67750</v>
      </c>
      <c r="N140" s="151">
        <f t="shared" ca="1" si="64"/>
        <v>44039</v>
      </c>
      <c r="O140" s="150">
        <f t="shared" ref="O140:O142" ca="1" si="65">IF(L140&gt;0,N140*100/L140,0)</f>
        <v>53.059036144578315</v>
      </c>
      <c r="P140" s="150">
        <f t="shared" ref="P140:P142" ca="1" si="66">IF(M140&gt;0,N140*100/M140,0)</f>
        <v>65.002214022140222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83000</v>
      </c>
      <c r="M142" s="87">
        <f t="shared" ca="1" si="68"/>
        <v>67750</v>
      </c>
      <c r="N142" s="87">
        <f t="shared" ca="1" si="68"/>
        <v>44039</v>
      </c>
      <c r="O142" s="155">
        <f t="shared" ca="1" si="65"/>
        <v>53.059036144578315</v>
      </c>
      <c r="P142" s="155">
        <f t="shared" ca="1" si="66"/>
        <v>65.002214022140222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83000</v>
      </c>
      <c r="M144" s="167">
        <f ca="1">IFERROR(__xludf.DUMMYFUNCTION("IMPORTRANGE(""https://docs.google.com/spreadsheets/d/1Yj_ptqi66GCucihVvJfMjLAmec39IyEx_6qawtMGysU/edit?usp=sharing"",""สบก!BJ34"")"),67750)</f>
        <v>67750</v>
      </c>
      <c r="N144" s="168">
        <f ca="1">IFERROR(__xludf.DUMMYFUNCTION("IMPORTRANGE(""https://docs.google.com/spreadsheets/d/1Yj_ptqi66GCucihVvJfMjLAmec39IyEx_6qawtMGysU/edit?usp=sharing"",""สบก!BK34"")"),44039)</f>
        <v>44039</v>
      </c>
      <c r="O144" s="168">
        <f ca="1">IF(L144&gt;0,N144*100/L144,0)</f>
        <v>53.059036144578315</v>
      </c>
      <c r="P144" s="168">
        <f ca="1">IF(M144&gt;0,N144*100/M144,0)</f>
        <v>65.002214022140222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IFERROR(__xludf.DUMMYFUNCTION("IMPORTRANGE(""https://docs.google.com/spreadsheets/d/1Yj_ptqi66GCucihVvJfMjLAmec39IyEx_6qawtMGysU/edit?usp=sharing"",""สบก!BF34"")"),0)</f>
        <v>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IFERROR(__xludf.DUMMYFUNCTION("IMPORTRANGE(""https://docs.google.com/spreadsheets/d/1Yj_ptqi66GCucihVvJfMjLAmec39IyEx_6qawtMGysU/edit?usp=sharing"",""สบก!BG34"")"),83000)</f>
        <v>83000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IFERROR(__xludf.DUMMYFUNCTION("IMPORTRANGE(""https://docs.google.com/spreadsheets/d/1Yj_ptqi66GCucihVvJfMjLAmec39IyEx_6qawtMGysU/edit?usp=sharing"",""สบก!BH34"")"),0)</f>
        <v>0</v>
      </c>
      <c r="M148" s="49"/>
      <c r="N148" s="49">
        <f ca="1">IFERROR(__xludf.DUMMYFUNCTION("IMPORTRANGE(""https://docs.google.com/spreadsheets/d/1Yj_ptqi66GCucihVvJfMjLAmec39IyEx_6qawtMGysU/edit?usp=sharing"",""สบก!BL34"")"),0)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IFERROR(__xludf.DUMMYFUNCTION("IMPORTRANGE(""https://docs.google.com/spreadsheets/d/11923uPwbBZFjjGgGUA6NLw09EwE0CqkOc4q9oUmW1yo/edit?usp=sharing"",""สุโขทัย!I74"")"),4)</f>
        <v>4</v>
      </c>
      <c r="J149" s="274">
        <f ca="1">IFERROR(__xludf.DUMMYFUNCTION("IMPORTRANGE(""https://docs.google.com/spreadsheets/d/11923uPwbBZFjjGgGUA6NLw09EwE0CqkOc4q9oUmW1yo/edit?usp=sharing"",""สุโขทัย!J74"")"),2)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IFERROR(__xludf.DUMMYFUNCTION("IMPORTRANGE(""https://docs.google.com/spreadsheets/d/11923uPwbBZFjjGgGUA6NLw09EwE0CqkOc4q9oUmW1yo/edit?usp=sharing"",""สุโขทัย!J79"")"),0)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IFERROR(__xludf.DUMMYFUNCTION("IMPORTRANGE(""https://docs.google.com/spreadsheets/d/11923uPwbBZFjjGgGUA6NLw09EwE0CqkOc4q9oUmW1yo/edit?usp=sharing"",""สุโขทัย!J80"")"),1)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IFERROR(__xludf.DUMMYFUNCTION("IMPORTRANGE(""https://docs.google.com/spreadsheets/d/11923uPwbBZFjjGgGUA6NLw09EwE0CqkOc4q9oUmW1yo/edit?usp=sharing"",""สุโขทัย!J81"")"),1)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IFERROR(__xludf.DUMMYFUNCTION("IMPORTRANGE(""https://docs.google.com/spreadsheets/d/11923uPwbBZFjjGgGUA6NLw09EwE0CqkOc4q9oUmW1yo/edit?usp=sharing"",""สุโขทัย!J82"")"),0)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IFERROR(__xludf.DUMMYFUNCTION("IMPORTRANGE(""https://docs.google.com/spreadsheets/d/11923uPwbBZFjjGgGUA6NLw09EwE0CqkOc4q9oUmW1yo/edit?usp=sharing"",""สุโขทัย!I83"")"),4)</f>
        <v>4</v>
      </c>
      <c r="J158" s="188">
        <f ca="1">IFERROR(__xludf.DUMMYFUNCTION("IMPORTRANGE(""https://docs.google.com/spreadsheets/d/11923uPwbBZFjjGgGUA6NLw09EwE0CqkOc4q9oUmW1yo/edit?usp=sharing"",""สุโขทัย!J83"")"),2)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IFERROR(__xludf.DUMMYFUNCTION("IMPORTRANGE(""https://docs.google.com/spreadsheets/d/11923uPwbBZFjjGgGUA6NLw09EwE0CqkOc4q9oUmW1yo/edit?usp=sharing"",""สุโขทัย!J84"")"),81)</f>
        <v>81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IFERROR(__xludf.DUMMYFUNCTION("IMPORTRANGE(""https://docs.google.com/spreadsheets/d/11923uPwbBZFjjGgGUA6NLw09EwE0CqkOc4q9oUmW1yo/edit?usp=sharing"",""สุโขทัย!J85"")"),81)</f>
        <v>81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IFERROR(__xludf.DUMMYFUNCTION("IMPORTRANGE(""https://docs.google.com/spreadsheets/d/11923uPwbBZFjjGgGUA6NLw09EwE0CqkOc4q9oUmW1yo/edit?usp=sharing"",""สุโขทัย!J86"")"),0)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IFERROR(__xludf.DUMMYFUNCTION("IMPORTRANGE(""https://docs.google.com/spreadsheets/d/11923uPwbBZFjjGgGUA6NLw09EwE0CqkOc4q9oUmW1yo/edit?usp=sharing"",""สุโขทัย!J87"")"),0)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IFERROR(__xludf.DUMMYFUNCTION("IMPORTRANGE(""https://docs.google.com/spreadsheets/d/11923uPwbBZFjjGgGUA6NLw09EwE0CqkOc4q9oUmW1yo/edit?usp=sharing"",""สุโขทัย!J88"")"),0)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IFERROR(__xludf.DUMMYFUNCTION("IMPORTRANGE(""https://docs.google.com/spreadsheets/d/11923uPwbBZFjjGgGUA6NLw09EwE0CqkOc4q9oUmW1yo/edit?usp=sharing"",""สุโขทัย!I89"")"),4)</f>
        <v>4</v>
      </c>
      <c r="J164" s="282">
        <f ca="1">IFERROR(__xludf.DUMMYFUNCTION("IMPORTRANGE(""https://docs.google.com/spreadsheets/d/11923uPwbBZFjjGgGUA6NLw09EwE0CqkOc4q9oUmW1yo/edit?usp=sharing"",""สุโขทัย!J89"")"),3)</f>
        <v>3</v>
      </c>
      <c r="K164" s="283">
        <f ca="1">IF(I164&gt;0,J164*100/I164,0)</f>
        <v>75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IFERROR(__xludf.DUMMYFUNCTION("IMPORTRANGE(""https://docs.google.com/spreadsheets/d/11923uPwbBZFjjGgGUA6NLw09EwE0CqkOc4q9oUmW1yo/edit?usp=sharing"",""สุโขทัย!J94"")"),0)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IFERROR(__xludf.DUMMYFUNCTION("IMPORTRANGE(""https://docs.google.com/spreadsheets/d/11923uPwbBZFjjGgGUA6NLw09EwE0CqkOc4q9oUmW1yo/edit?usp=sharing"",""สุโขทัย!J95"")"),1)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IFERROR(__xludf.DUMMYFUNCTION("IMPORTRANGE(""https://docs.google.com/spreadsheets/d/11923uPwbBZFjjGgGUA6NLw09EwE0CqkOc4q9oUmW1yo/edit?usp=sharing"",""สุโขทัย!J96"")"),1)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IFERROR(__xludf.DUMMYFUNCTION("IMPORTRANGE(""https://docs.google.com/spreadsheets/d/11923uPwbBZFjjGgGUA6NLw09EwE0CqkOc4q9oUmW1yo/edit?usp=sharing"",""สุโขทัย!J97"")"),1)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IFERROR(__xludf.DUMMYFUNCTION("IMPORTRANGE(""https://docs.google.com/spreadsheets/d/11923uPwbBZFjjGgGUA6NLw09EwE0CqkOc4q9oUmW1yo/edit?usp=sharing"",""สุโขทัย!I98"")"),4)</f>
        <v>4</v>
      </c>
      <c r="J173" s="188">
        <f ca="1">IFERROR(__xludf.DUMMYFUNCTION("IMPORTRANGE(""https://docs.google.com/spreadsheets/d/11923uPwbBZFjjGgGUA6NLw09EwE0CqkOc4q9oUmW1yo/edit?usp=sharing"",""สุโขทัย!J98"")"),3)</f>
        <v>3</v>
      </c>
      <c r="K173" s="163">
        <f ca="1">IF(I173&gt;0,J173*100/I173,0)</f>
        <v>75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IFERROR(__xludf.DUMMYFUNCTION("IMPORTRANGE(""https://docs.google.com/spreadsheets/d/11923uPwbBZFjjGgGUA6NLw09EwE0CqkOc4q9oUmW1yo/edit?usp=sharing"",""สุโขทัย!J99"")"),0)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IFERROR(__xludf.DUMMYFUNCTION("IMPORTRANGE(""https://docs.google.com/spreadsheets/d/11923uPwbBZFjjGgGUA6NLw09EwE0CqkOc4q9oUmW1yo/edit?usp=sharing"",""สุโขทัย!J100"")"),0)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IFERROR(__xludf.DUMMYFUNCTION("IMPORTRANGE(""https://docs.google.com/spreadsheets/d/11923uPwbBZFjjGgGUA6NLw09EwE0CqkOc4q9oUmW1yo/edit?usp=sharing"",""สุโขทัย!I101"")"),0)</f>
        <v>0</v>
      </c>
      <c r="J176" s="282">
        <f ca="1">IFERROR(__xludf.DUMMYFUNCTION("IMPORTRANGE(""https://docs.google.com/spreadsheets/d/11923uPwbBZFjjGgGUA6NLw09EwE0CqkOc4q9oUmW1yo/edit?usp=sharing"",""สุโขทัย!J101"")"),0)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IFERROR(__xludf.DUMMYFUNCTION("IMPORTRANGE(""https://docs.google.com/spreadsheets/d/11923uPwbBZFjjGgGUA6NLw09EwE0CqkOc4q9oUmW1yo/edit?usp=sharing"",""สุโขทัย!J106"")"),0)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IFERROR(__xludf.DUMMYFUNCTION("IMPORTRANGE(""https://docs.google.com/spreadsheets/d/11923uPwbBZFjjGgGUA6NLw09EwE0CqkOc4q9oUmW1yo/edit?usp=sharing"",""สุโขทัย!J107"")"),0)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IFERROR(__xludf.DUMMYFUNCTION("IMPORTRANGE(""https://docs.google.com/spreadsheets/d/11923uPwbBZFjjGgGUA6NLw09EwE0CqkOc4q9oUmW1yo/edit?usp=sharing"",""สุโขทัย!J108"")"),0)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IFERROR(__xludf.DUMMYFUNCTION("IMPORTRANGE(""https://docs.google.com/spreadsheets/d/11923uPwbBZFjjGgGUA6NLw09EwE0CqkOc4q9oUmW1yo/edit?usp=sharing"",""สุโขทัย!J109"")"),0)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IFERROR(__xludf.DUMMYFUNCTION("IMPORTRANGE(""https://docs.google.com/spreadsheets/d/11923uPwbBZFjjGgGUA6NLw09EwE0CqkOc4q9oUmW1yo/edit?usp=sharing"",""สุโขทัย!I110"")"),0)</f>
        <v>0</v>
      </c>
      <c r="J185" s="203">
        <f ca="1">IFERROR(__xludf.DUMMYFUNCTION("IMPORTRANGE(""https://docs.google.com/spreadsheets/d/11923uPwbBZFjjGgGUA6NLw09EwE0CqkOc4q9oUmW1yo/edit?usp=sharing"",""สุโขทัย!J110"")"),0)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IFERROR(__xludf.DUMMYFUNCTION("IMPORTRANGE(""https://docs.google.com/spreadsheets/d/11923uPwbBZFjjGgGUA6NLw09EwE0CqkOc4q9oUmW1yo/edit?usp=sharing"",""สุโขทัย!I111"")"),0)</f>
        <v>0</v>
      </c>
      <c r="J186" s="203">
        <f ca="1">IFERROR(__xludf.DUMMYFUNCTION("IMPORTRANGE(""https://docs.google.com/spreadsheets/d/11923uPwbBZFjjGgGUA6NLw09EwE0CqkOc4q9oUmW1yo/edit?usp=sharing"",""สุโขทัย!J111"")"),0)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IFERROR(__xludf.DUMMYFUNCTION("IMPORTRANGE(""https://docs.google.com/spreadsheets/d/11923uPwbBZFjjGgGUA6NLw09EwE0CqkOc4q9oUmW1yo/edit?usp=sharing"",""สุโขทัย!J112"")"),0)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IFERROR(__xludf.DUMMYFUNCTION("IMPORTRANGE(""https://docs.google.com/spreadsheets/d/11923uPwbBZFjjGgGUA6NLw09EwE0CqkOc4q9oUmW1yo/edit?usp=sharing"",""สุโขทัย!J113"")"),0)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IFERROR(__xludf.DUMMYFUNCTION("IMPORTRANGE(""https://docs.google.com/spreadsheets/d/11923uPwbBZFjjGgGUA6NLw09EwE0CqkOc4q9oUmW1yo/edit?usp=sharing"",""สุโขทัย!I114"")"),50000)</f>
        <v>50000</v>
      </c>
      <c r="J189" s="282">
        <f ca="1">IFERROR(__xludf.DUMMYFUNCTION("IMPORTRANGE(""https://docs.google.com/spreadsheets/d/11923uPwbBZFjjGgGUA6NLw09EwE0CqkOc4q9oUmW1yo/edit?usp=sharing"",""สุโขทัย!J114"")"),0)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IFERROR(__xludf.DUMMYFUNCTION("IMPORTRANGE(""https://docs.google.com/spreadsheets/d/11923uPwbBZFjjGgGUA6NLw09EwE0CqkOc4q9oUmW1yo/edit?usp=sharing"",""สุโขทัย!J119"")"),0)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IFERROR(__xludf.DUMMYFUNCTION("IMPORTRANGE(""https://docs.google.com/spreadsheets/d/11923uPwbBZFjjGgGUA6NLw09EwE0CqkOc4q9oUmW1yo/edit?usp=sharing"",""สุโขทัย!J120"")"),1)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IFERROR(__xludf.DUMMYFUNCTION("IMPORTRANGE(""https://docs.google.com/spreadsheets/d/11923uPwbBZFjjGgGUA6NLw09EwE0CqkOc4q9oUmW1yo/edit?usp=sharing"",""สุโขทัย!J121"")"),1)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IFERROR(__xludf.DUMMYFUNCTION("IMPORTRANGE(""https://docs.google.com/spreadsheets/d/11923uPwbBZFjjGgGUA6NLw09EwE0CqkOc4q9oUmW1yo/edit?usp=sharing"",""สุโขทัย!J122"")"),0)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IFERROR(__xludf.DUMMYFUNCTION("IMPORTRANGE(""https://docs.google.com/spreadsheets/d/11923uPwbBZFjjGgGUA6NLw09EwE0CqkOc4q9oUmW1yo/edit?usp=sharing"",""สุโขทัย!I124"")"),50000)</f>
        <v>50000</v>
      </c>
      <c r="J199" s="188">
        <f ca="1">IFERROR(__xludf.DUMMYFUNCTION("IMPORTRANGE(""https://docs.google.com/spreadsheets/d/11923uPwbBZFjjGgGUA6NLw09EwE0CqkOc4q9oUmW1yo/edit?usp=sharing"",""สุโขทัย!J124"")"),0)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IFERROR(__xludf.DUMMYFUNCTION("IMPORTRANGE(""https://docs.google.com/spreadsheets/d/11923uPwbBZFjjGgGUA6NLw09EwE0CqkOc4q9oUmW1yo/edit?usp=sharing"",""สุโขทัย!I125"")"),50000)</f>
        <v>50000</v>
      </c>
      <c r="J200" s="188">
        <f ca="1">IFERROR(__xludf.DUMMYFUNCTION("IMPORTRANGE(""https://docs.google.com/spreadsheets/d/11923uPwbBZFjjGgGUA6NLw09EwE0CqkOc4q9oUmW1yo/edit?usp=sharing"",""สุโขทัย!J125"")"),0)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IFERROR(__xludf.DUMMYFUNCTION("IMPORTRANGE(""https://docs.google.com/spreadsheets/d/11923uPwbBZFjjGgGUA6NLw09EwE0CqkOc4q9oUmW1yo/edit?usp=sharing"",""สุโขทัย!I126"")"),0)</f>
        <v>0</v>
      </c>
      <c r="J201" s="188">
        <f ca="1">IFERROR(__xludf.DUMMYFUNCTION("IMPORTRANGE(""https://docs.google.com/spreadsheets/d/11923uPwbBZFjjGgGUA6NLw09EwE0CqkOc4q9oUmW1yo/edit?usp=sharing"",""สุโขทัย!J126"")"),0)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IFERROR(__xludf.DUMMYFUNCTION("IMPORTRANGE(""https://docs.google.com/spreadsheets/d/11923uPwbBZFjjGgGUA6NLw09EwE0CqkOc4q9oUmW1yo/edit?usp=sharing"",""สุโขทัย!J127"")"),0)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IFERROR(__xludf.DUMMYFUNCTION("IMPORTRANGE(""https://docs.google.com/spreadsheets/d/11923uPwbBZFjjGgGUA6NLw09EwE0CqkOc4q9oUmW1yo/edit?usp=sharing"",""สุโขทัย!J128"")"),0)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IFERROR(__xludf.DUMMYFUNCTION("IMPORTRANGE(""https://docs.google.com/spreadsheets/d/11923uPwbBZFjjGgGUA6NLw09EwE0CqkOc4q9oUmW1yo/edit?usp=sharing"",""สุโขทัย!I129"")"),0)</f>
        <v>0</v>
      </c>
      <c r="J204" s="282">
        <f ca="1">IFERROR(__xludf.DUMMYFUNCTION("IMPORTRANGE(""https://docs.google.com/spreadsheets/d/11923uPwbBZFjjGgGUA6NLw09EwE0CqkOc4q9oUmW1yo/edit?usp=sharing"",""สุโขทัย!J129"")"),0)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IFERROR(__xludf.DUMMYFUNCTION("IMPORTRANGE(""https://docs.google.com/spreadsheets/d/11923uPwbBZFjjGgGUA6NLw09EwE0CqkOc4q9oUmW1yo/edit?usp=sharing"",""สุโขทัย!J134"")"),0)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IFERROR(__xludf.DUMMYFUNCTION("IMPORTRANGE(""https://docs.google.com/spreadsheets/d/11923uPwbBZFjjGgGUA6NLw09EwE0CqkOc4q9oUmW1yo/edit?usp=sharing"",""สุโขทัย!J135"")"),0)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IFERROR(__xludf.DUMMYFUNCTION("IMPORTRANGE(""https://docs.google.com/spreadsheets/d/11923uPwbBZFjjGgGUA6NLw09EwE0CqkOc4q9oUmW1yo/edit?usp=sharing"",""สุโขทัย!J136"")"),0)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IFERROR(__xludf.DUMMYFUNCTION("IMPORTRANGE(""https://docs.google.com/spreadsheets/d/11923uPwbBZFjjGgGUA6NLw09EwE0CqkOc4q9oUmW1yo/edit?usp=sharing"",""สุโขทัย!J137"")"),0)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IFERROR(__xludf.DUMMYFUNCTION("IMPORTRANGE(""https://docs.google.com/spreadsheets/d/11923uPwbBZFjjGgGUA6NLw09EwE0CqkOc4q9oUmW1yo/edit?usp=sharing"",""สุโขทัย!I138"")"),0)</f>
        <v>0</v>
      </c>
      <c r="J213" s="203">
        <f ca="1">IFERROR(__xludf.DUMMYFUNCTION("IMPORTRANGE(""https://docs.google.com/spreadsheets/d/11923uPwbBZFjjGgGUA6NLw09EwE0CqkOc4q9oUmW1yo/edit?usp=sharing"",""สุโขทัย!J138"")"),0)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IFERROR(__xludf.DUMMYFUNCTION("IMPORTRANGE(""https://docs.google.com/spreadsheets/d/11923uPwbBZFjjGgGUA6NLw09EwE0CqkOc4q9oUmW1yo/edit?usp=sharing"",""สุโขทัย!I140"")"),0)</f>
        <v>0</v>
      </c>
      <c r="J215" s="203">
        <f ca="1">IFERROR(__xludf.DUMMYFUNCTION("IMPORTRANGE(""https://docs.google.com/spreadsheets/d/11923uPwbBZFjjGgGUA6NLw09EwE0CqkOc4q9oUmW1yo/edit?usp=sharing"",""สุโขทัย!J140"")"),0)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IFERROR(__xludf.DUMMYFUNCTION("IMPORTRANGE(""https://docs.google.com/spreadsheets/d/11923uPwbBZFjjGgGUA6NLw09EwE0CqkOc4q9oUmW1yo/edit?usp=sharing"",""สุโขทัย!I141"")"),0)</f>
        <v>0</v>
      </c>
      <c r="J216" s="203">
        <f ca="1">IFERROR(__xludf.DUMMYFUNCTION("IMPORTRANGE(""https://docs.google.com/spreadsheets/d/11923uPwbBZFjjGgGUA6NLw09EwE0CqkOc4q9oUmW1yo/edit?usp=sharing"",""สุโขทัย!J141"")"),0)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IFERROR(__xludf.DUMMYFUNCTION("IMPORTRANGE(""https://docs.google.com/spreadsheets/d/11923uPwbBZFjjGgGUA6NLw09EwE0CqkOc4q9oUmW1yo/edit?usp=sharing"",""สุโขทัย!J142"")"),0)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IFERROR(__xludf.DUMMYFUNCTION("IMPORTRANGE(""https://docs.google.com/spreadsheets/d/11923uPwbBZFjjGgGUA6NLw09EwE0CqkOc4q9oUmW1yo/edit?usp=sharing"",""สุโขทัย!J143"")"),0)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IFERROR(__xludf.DUMMYFUNCTION("IMPORTRANGE(""https://docs.google.com/spreadsheets/d/11923uPwbBZFjjGgGUA6NLw09EwE0CqkOc4q9oUmW1yo/edit?usp=sharing"",""สุโขทัย!I144"")"),13)</f>
        <v>13</v>
      </c>
      <c r="J219" s="266">
        <f ca="1">IFERROR(__xludf.DUMMYFUNCTION("IMPORTRANGE(""https://docs.google.com/spreadsheets/d/11923uPwbBZFjjGgGUA6NLw09EwE0CqkOc4q9oUmW1yo/edit?usp=sharing"",""สุโขทัย!J144"")"),13)</f>
        <v>13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19295</v>
      </c>
      <c r="M220" s="151">
        <f t="shared" ca="1" si="72"/>
        <v>19295</v>
      </c>
      <c r="N220" s="151">
        <f t="shared" ca="1" si="72"/>
        <v>17775</v>
      </c>
      <c r="O220" s="150">
        <f t="shared" ref="O220:O222" ca="1" si="73">IF(L220&gt;0,N220*100/L220,0)</f>
        <v>92.122311479657938</v>
      </c>
      <c r="P220" s="150">
        <f t="shared" ref="P220:P222" ca="1" si="74">IF(M220&gt;0,N220*100/M220,0)</f>
        <v>92.122311479657938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19295</v>
      </c>
      <c r="M222" s="87">
        <f t="shared" ca="1" si="76"/>
        <v>19295</v>
      </c>
      <c r="N222" s="87">
        <f t="shared" ca="1" si="76"/>
        <v>17775</v>
      </c>
      <c r="O222" s="155">
        <f t="shared" ca="1" si="73"/>
        <v>92.122311479657938</v>
      </c>
      <c r="P222" s="155">
        <f t="shared" ca="1" si="74"/>
        <v>92.122311479657938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IFERROR(__xludf.DUMMYFUNCTION("IMPORTRANGE(""https://docs.google.com/spreadsheets/d/1Yj_ptqi66GCucihVvJfMjLAmec39IyEx_6qawtMGysU/edit?usp=sharing"",""สบก!BS34"")"),19295)</f>
        <v>19295</v>
      </c>
      <c r="N224" s="168">
        <f ca="1">IFERROR(__xludf.DUMMYFUNCTION("IMPORTRANGE(""https://docs.google.com/spreadsheets/d/1Yj_ptqi66GCucihVvJfMjLAmec39IyEx_6qawtMGysU/edit?usp=sharing"",""สบก!BT34"")"),17775)</f>
        <v>17775</v>
      </c>
      <c r="O224" s="168">
        <f ca="1">IF(L224&gt;0,N224*100/L224,0)</f>
        <v>92.122311479657938</v>
      </c>
      <c r="P224" s="168">
        <f ca="1">IF(M224&gt;0,N224*100/M224,0)</f>
        <v>92.122311479657938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IFERROR(__xludf.DUMMYFUNCTION("IMPORTRANGE(""https://docs.google.com/spreadsheets/d/1Yj_ptqi66GCucihVvJfMjLAmec39IyEx_6qawtMGysU/edit?usp=sharing"",""สบก!BO34"")"),0)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IFERROR(__xludf.DUMMYFUNCTION("IMPORTRANGE(""https://docs.google.com/spreadsheets/d/1Yj_ptqi66GCucihVvJfMjLAmec39IyEx_6qawtMGysU/edit?usp=sharing"",""สบก!BP34"")"),19295)</f>
        <v>19295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IFERROR(__xludf.DUMMYFUNCTION("IMPORTRANGE(""https://docs.google.com/spreadsheets/d/1Yj_ptqi66GCucihVvJfMjLAmec39IyEx_6qawtMGysU/edit?usp=sharing"",""สบก!BQ34"")"),0)</f>
        <v>0</v>
      </c>
      <c r="M228" s="49"/>
      <c r="N228" s="49">
        <f ca="1">IFERROR(__xludf.DUMMYFUNCTION("IMPORTRANGE(""https://docs.google.com/spreadsheets/d/1Yj_ptqi66GCucihVvJfMjLAmec39IyEx_6qawtMGysU/edit?usp=sharing"",""สบก!BU34"")"),0)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IFERROR(__xludf.DUMMYFUNCTION("IMPORTRANGE(""https://docs.google.com/spreadsheets/d/11923uPwbBZFjjGgGUA6NLw09EwE0CqkOc4q9oUmW1yo/edit?usp=sharing"",""สุโขทัย!I149"")"),13)</f>
        <v>13</v>
      </c>
      <c r="J229" s="266">
        <f ca="1">IFERROR(__xludf.DUMMYFUNCTION("IMPORTRANGE(""https://docs.google.com/spreadsheets/d/11923uPwbBZFjjGgGUA6NLw09EwE0CqkOc4q9oUmW1yo/edit?usp=sharing"",""สุโขทัย!J149"")"),13)</f>
        <v>13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IFERROR(__xludf.DUMMYFUNCTION("IMPORTRANGE(""https://docs.google.com/spreadsheets/d/11923uPwbBZFjjGgGUA6NLw09EwE0CqkOc4q9oUmW1yo/edit?usp=sharing"",""สุโขทัย!J151"")"),0)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IFERROR(__xludf.DUMMYFUNCTION("IMPORTRANGE(""https://docs.google.com/spreadsheets/d/11923uPwbBZFjjGgGUA6NLw09EwE0CqkOc4q9oUmW1yo/edit?usp=sharing"",""สุโขทัย!J152"")"),1)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IFERROR(__xludf.DUMMYFUNCTION("IMPORTRANGE(""https://docs.google.com/spreadsheets/d/11923uPwbBZFjjGgGUA6NLw09EwE0CqkOc4q9oUmW1yo/edit?usp=sharing"",""สุโขทัย!J153"")"),1)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IFERROR(__xludf.DUMMYFUNCTION("IMPORTRANGE(""https://docs.google.com/spreadsheets/d/11923uPwbBZFjjGgGUA6NLw09EwE0CqkOc4q9oUmW1yo/edit?usp=sharing"",""สุโขทัย!J154"")"),1)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IFERROR(__xludf.DUMMYFUNCTION("IMPORTRANGE(""https://docs.google.com/spreadsheets/d/11923uPwbBZFjjGgGUA6NLw09EwE0CqkOc4q9oUmW1yo/edit?usp=sharing"",""สุโขทัย!I155"")"),13)</f>
        <v>13</v>
      </c>
      <c r="J235" s="188">
        <f ca="1">IFERROR(__xludf.DUMMYFUNCTION("IMPORTRANGE(""https://docs.google.com/spreadsheets/d/11923uPwbBZFjjGgGUA6NLw09EwE0CqkOc4q9oUmW1yo/edit?usp=sharing"",""สุโขทัย!J155"")"),13)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IFERROR(__xludf.DUMMYFUNCTION("IMPORTRANGE(""https://docs.google.com/spreadsheets/d/11923uPwbBZFjjGgGUA6NLw09EwE0CqkOc4q9oUmW1yo/edit?usp=sharing"",""สุโขทัย!J156"")"),0)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IFERROR(__xludf.DUMMYFUNCTION("IMPORTRANGE(""https://docs.google.com/spreadsheets/d/11923uPwbBZFjjGgGUA6NLw09EwE0CqkOc4q9oUmW1yo/edit?usp=sharing"",""สุโขทัย!J157"")"),0)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IFERROR(__xludf.DUMMYFUNCTION("IMPORTRANGE(""https://docs.google.com/spreadsheets/d/11923uPwbBZFjjGgGUA6NLw09EwE0CqkOc4q9oUmW1yo/edit?usp=sharing"",""สุโขทัย!I158"")"),0)</f>
        <v>0</v>
      </c>
      <c r="J238" s="266">
        <f ca="1">IFERROR(__xludf.DUMMYFUNCTION("IMPORTRANGE(""https://docs.google.com/spreadsheets/d/11923uPwbBZFjjGgGUA6NLw09EwE0CqkOc4q9oUmW1yo/edit?usp=sharing"",""สุโขทัย!J158"")"),0)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IFERROR(__xludf.DUMMYFUNCTION("IMPORTRANGE(""https://docs.google.com/spreadsheets/d/11923uPwbBZFjjGgGUA6NLw09EwE0CqkOc4q9oUmW1yo/edit?usp=sharing"",""สุโขทัย!J159"")"),"")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IFERROR(__xludf.DUMMYFUNCTION("IMPORTRANGE(""https://docs.google.com/spreadsheets/d/11923uPwbBZFjjGgGUA6NLw09EwE0CqkOc4q9oUmW1yo/edit?usp=sharing"",""สุโขทัย!J161"")"),0)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IFERROR(__xludf.DUMMYFUNCTION("IMPORTRANGE(""https://docs.google.com/spreadsheets/d/11923uPwbBZFjjGgGUA6NLw09EwE0CqkOc4q9oUmW1yo/edit?usp=sharing"",""สุโขทัย!J162"")"),0)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IFERROR(__xludf.DUMMYFUNCTION("IMPORTRANGE(""https://docs.google.com/spreadsheets/d/11923uPwbBZFjjGgGUA6NLw09EwE0CqkOc4q9oUmW1yo/edit?usp=sharing"",""สุโขทัย!J163"")"),0)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IFERROR(__xludf.DUMMYFUNCTION("IMPORTRANGE(""https://docs.google.com/spreadsheets/d/11923uPwbBZFjjGgGUA6NLw09EwE0CqkOc4q9oUmW1yo/edit?usp=sharing"",""สุโขทัย!I164"")"),0)</f>
        <v>0</v>
      </c>
      <c r="J244" s="187">
        <f ca="1">IFERROR(__xludf.DUMMYFUNCTION("IMPORTRANGE(""https://docs.google.com/spreadsheets/d/11923uPwbBZFjjGgGUA6NLw09EwE0CqkOc4q9oUmW1yo/edit?usp=sharing"",""สุโขทัย!J164"")"),0)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IFERROR(__xludf.DUMMYFUNCTION("IMPORTRANGE(""https://docs.google.com/spreadsheets/d/11923uPwbBZFjjGgGUA6NLw09EwE0CqkOc4q9oUmW1yo/edit?usp=sharing"",""สุโขทัย!J165"")"),0)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IFERROR(__xludf.DUMMYFUNCTION("IMPORTRANGE(""https://docs.google.com/spreadsheets/d/11923uPwbBZFjjGgGUA6NLw09EwE0CqkOc4q9oUmW1yo/edit?usp=sharing"",""สุโขทัย!J166"")"),0)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IFERROR(__xludf.DUMMYFUNCTION("IMPORTRANGE(""https://docs.google.com/spreadsheets/d/11923uPwbBZFjjGgGUA6NLw09EwE0CqkOc4q9oUmW1yo/edit?usp=sharing"",""สุโขทัย!I169"")"),0)</f>
        <v>0</v>
      </c>
      <c r="J249" s="314">
        <f ca="1">IFERROR(__xludf.DUMMYFUNCTION("IMPORTRANGE(""https://docs.google.com/spreadsheets/d/11923uPwbBZFjjGgGUA6NLw09EwE0CqkOc4q9oUmW1yo/edit?usp=sharing"",""สุโขทัย!J169"")"),0)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IFERROR(__xludf.DUMMYFUNCTION("IMPORTRANGE(""https://docs.google.com/spreadsheets/d/1Yj_ptqi66GCucihVvJfMjLAmec39IyEx_6qawtMGysU/edit?usp=sharing"",""สบก!CB34"")"),0)</f>
        <v>0</v>
      </c>
      <c r="N254" s="168">
        <f ca="1">IFERROR(__xludf.DUMMYFUNCTION("IMPORTRANGE(""https://docs.google.com/spreadsheets/d/1Yj_ptqi66GCucihVvJfMjLAmec39IyEx_6qawtMGysU/edit?usp=sharing"",""สบก!CC34"")"),0)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IFERROR(__xludf.DUMMYFUNCTION("IMPORTRANGE(""https://docs.google.com/spreadsheets/d/1Yj_ptqi66GCucihVvJfMjLAmec39IyEx_6qawtMGysU/edit?usp=sharing"",""สบก!BX34"")"),0)</f>
        <v>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IFERROR(__xludf.DUMMYFUNCTION("IMPORTRANGE(""https://docs.google.com/spreadsheets/d/1Yj_ptqi66GCucihVvJfMjLAmec39IyEx_6qawtMGysU/edit?usp=sharing"",""สบก!BY34"")"),0)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IFERROR(__xludf.DUMMYFUNCTION("IMPORTRANGE(""https://docs.google.com/spreadsheets/d/1Yj_ptqi66GCucihVvJfMjLAmec39IyEx_6qawtMGysU/edit?usp=sharing"",""สบก!BZ34"")"),0)</f>
        <v>0</v>
      </c>
      <c r="M258" s="49"/>
      <c r="N258" s="49">
        <f ca="1">IFERROR(__xludf.DUMMYFUNCTION("IMPORTRANGE(""https://docs.google.com/spreadsheets/d/1Yj_ptqi66GCucihVvJfMjLAmec39IyEx_6qawtMGysU/edit?usp=sharing"",""สบก!CD34"")"),0)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IFERROR(__xludf.DUMMYFUNCTION("IMPORTRANGE(""https://docs.google.com/spreadsheets/d/11923uPwbBZFjjGgGUA6NLw09EwE0CqkOc4q9oUmW1yo/edit?usp=sharing"",""สุโขทัย!J175"")"),0)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IFERROR(__xludf.DUMMYFUNCTION("IMPORTRANGE(""https://docs.google.com/spreadsheets/d/11923uPwbBZFjjGgGUA6NLw09EwE0CqkOc4q9oUmW1yo/edit?usp=sharing"",""สุโขทัย!J176"")"),0)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IFERROR(__xludf.DUMMYFUNCTION("IMPORTRANGE(""https://docs.google.com/spreadsheets/d/11923uPwbBZFjjGgGUA6NLw09EwE0CqkOc4q9oUmW1yo/edit?usp=sharing"",""สุโขทัย!J177"")"),0)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IFERROR(__xludf.DUMMYFUNCTION("IMPORTRANGE(""https://docs.google.com/spreadsheets/d/11923uPwbBZFjjGgGUA6NLw09EwE0CqkOc4q9oUmW1yo/edit?usp=sharing"",""สุโขทัย!J178"")"),0)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IFERROR(__xludf.DUMMYFUNCTION("IMPORTRANGE(""https://docs.google.com/spreadsheets/d/11923uPwbBZFjjGgGUA6NLw09EwE0CqkOc4q9oUmW1yo/edit?usp=sharing"",""สุโขทัย!I179"")"),0)</f>
        <v>0</v>
      </c>
      <c r="J264" s="188">
        <f ca="1">IFERROR(__xludf.DUMMYFUNCTION("IMPORTRANGE(""https://docs.google.com/spreadsheets/d/11923uPwbBZFjjGgGUA6NLw09EwE0CqkOc4q9oUmW1yo/edit?usp=sharing"",""สุโขทัย!J179"")"),0)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IFERROR(__xludf.DUMMYFUNCTION("IMPORTRANGE(""https://docs.google.com/spreadsheets/d/11923uPwbBZFjjGgGUA6NLw09EwE0CqkOc4q9oUmW1yo/edit?usp=sharing"",""สุโขทัย!I180"")"),0)</f>
        <v>0</v>
      </c>
      <c r="J265" s="188">
        <f ca="1">IFERROR(__xludf.DUMMYFUNCTION("IMPORTRANGE(""https://docs.google.com/spreadsheets/d/11923uPwbBZFjjGgGUA6NLw09EwE0CqkOc4q9oUmW1yo/edit?usp=sharing"",""สุโขทัย!J180"")"),0)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IFERROR(__xludf.DUMMYFUNCTION("IMPORTRANGE(""https://docs.google.com/spreadsheets/d/11923uPwbBZFjjGgGUA6NLw09EwE0CqkOc4q9oUmW1yo/edit?usp=sharing"",""สุโขทัย!I181"")"),0)</f>
        <v>0</v>
      </c>
      <c r="J266" s="188">
        <f ca="1">IFERROR(__xludf.DUMMYFUNCTION("IMPORTRANGE(""https://docs.google.com/spreadsheets/d/11923uPwbBZFjjGgGUA6NLw09EwE0CqkOc4q9oUmW1yo/edit?usp=sharing"",""สุโขทัย!J181"")"),0)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IFERROR(__xludf.DUMMYFUNCTION("IMPORTRANGE(""https://docs.google.com/spreadsheets/d/11923uPwbBZFjjGgGUA6NLw09EwE0CqkOc4q9oUmW1yo/edit?usp=sharing"",""สุโขทัย!I182"")"),0)</f>
        <v>0</v>
      </c>
      <c r="J267" s="188">
        <f ca="1">IFERROR(__xludf.DUMMYFUNCTION("IMPORTRANGE(""https://docs.google.com/spreadsheets/d/11923uPwbBZFjjGgGUA6NLw09EwE0CqkOc4q9oUmW1yo/edit?usp=sharing"",""สุโขทัย!J182"")"),0)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IFERROR(__xludf.DUMMYFUNCTION("IMPORTRANGE(""https://docs.google.com/spreadsheets/d/11923uPwbBZFjjGgGUA6NLw09EwE0CqkOc4q9oUmW1yo/edit?usp=sharing"",""สุโขทัย!J183"")"),0)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IFERROR(__xludf.DUMMYFUNCTION("IMPORTRANGE(""https://docs.google.com/spreadsheets/d/11923uPwbBZFjjGgGUA6NLw09EwE0CqkOc4q9oUmW1yo/edit?usp=sharing"",""สุโขทัย!J184"")"),0)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IFERROR(__xludf.DUMMYFUNCTION("IMPORTRANGE(""https://docs.google.com/spreadsheets/d/11923uPwbBZFjjGgGUA6NLw09EwE0CqkOc4q9oUmW1yo/edit?usp=sharing"",""สุโขทัย!I185"")"),15)</f>
        <v>15</v>
      </c>
      <c r="J270" s="314">
        <f ca="1">IFERROR(__xludf.DUMMYFUNCTION("IMPORTRANGE(""https://docs.google.com/spreadsheets/d/11923uPwbBZFjjGgGUA6NLw09EwE0CqkOc4q9oUmW1yo/edit?usp=sharing"",""สุโขทัย!J185"")"),15)</f>
        <v>15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237700</v>
      </c>
      <c r="M271" s="151">
        <f t="shared" ca="1" si="83"/>
        <v>146000</v>
      </c>
      <c r="N271" s="151">
        <f t="shared" ca="1" si="83"/>
        <v>100115</v>
      </c>
      <c r="O271" s="150">
        <f t="shared" ref="O271:O273" ca="1" si="84">IF(L271&gt;0,N271*100/L271,0)</f>
        <v>42.11821623895667</v>
      </c>
      <c r="P271" s="150">
        <f t="shared" ref="P271:P273" ca="1" si="85">IF(M271&gt;0,N271*100/M271,0)</f>
        <v>68.571917808219183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237700</v>
      </c>
      <c r="M273" s="87">
        <f t="shared" ca="1" si="87"/>
        <v>146000</v>
      </c>
      <c r="N273" s="87">
        <f t="shared" ca="1" si="87"/>
        <v>100115</v>
      </c>
      <c r="O273" s="155">
        <f t="shared" ca="1" si="84"/>
        <v>42.11821623895667</v>
      </c>
      <c r="P273" s="155">
        <f t="shared" ca="1" si="85"/>
        <v>68.571917808219183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237700</v>
      </c>
      <c r="M275" s="167">
        <f ca="1">IFERROR(__xludf.DUMMYFUNCTION("IMPORTRANGE(""https://docs.google.com/spreadsheets/d/1Yj_ptqi66GCucihVvJfMjLAmec39IyEx_6qawtMGysU/edit?usp=sharing"",""สบก!CK34"")"),146000)</f>
        <v>146000</v>
      </c>
      <c r="N275" s="168">
        <f ca="1">IFERROR(__xludf.DUMMYFUNCTION("IMPORTRANGE(""https://docs.google.com/spreadsheets/d/1Yj_ptqi66GCucihVvJfMjLAmec39IyEx_6qawtMGysU/edit?usp=sharing"",""สบก!CL34"")"),100115)</f>
        <v>100115</v>
      </c>
      <c r="O275" s="168">
        <f ca="1">IF(L275&gt;0,N275*100/L275,0)</f>
        <v>42.11821623895667</v>
      </c>
      <c r="P275" s="168">
        <f ca="1">IF(M275&gt;0,N275*100/M275,0)</f>
        <v>68.571917808219183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IFERROR(__xludf.DUMMYFUNCTION("IMPORTRANGE(""https://docs.google.com/spreadsheets/d/1Yj_ptqi66GCucihVvJfMjLAmec39IyEx_6qawtMGysU/edit?usp=sharing"",""สบก!CG34"")"),132000)</f>
        <v>132000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IFERROR(__xludf.DUMMYFUNCTION("IMPORTRANGE(""https://docs.google.com/spreadsheets/d/1Yj_ptqi66GCucihVvJfMjLAmec39IyEx_6qawtMGysU/edit?usp=sharing"",""สบก!CH34"")"),105700)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IFERROR(__xludf.DUMMYFUNCTION("IMPORTRANGE(""https://docs.google.com/spreadsheets/d/1Yj_ptqi66GCucihVvJfMjLAmec39IyEx_6qawtMGysU/edit?usp=sharing"",""สบก!CI34"")"),0)</f>
        <v>0</v>
      </c>
      <c r="M279" s="49"/>
      <c r="N279" s="49">
        <f ca="1">IFERROR(__xludf.DUMMYFUNCTION("IMPORTRANGE(""https://docs.google.com/spreadsheets/d/1Yj_ptqi66GCucihVvJfMjLAmec39IyEx_6qawtMGysU/edit?usp=sharing"",""สบก!CM34"")"),0)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IFERROR(__xludf.DUMMYFUNCTION("IMPORTRANGE(""https://docs.google.com/spreadsheets/d/11923uPwbBZFjjGgGUA6NLw09EwE0CqkOc4q9oUmW1yo/edit?usp=sharing"",""สุโขทัย!J191"")"),0)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IFERROR(__xludf.DUMMYFUNCTION("IMPORTRANGE(""https://docs.google.com/spreadsheets/d/11923uPwbBZFjjGgGUA6NLw09EwE0CqkOc4q9oUmW1yo/edit?usp=sharing"",""สุโขทัย!J192"")"),1)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IFERROR(__xludf.DUMMYFUNCTION("IMPORTRANGE(""https://docs.google.com/spreadsheets/d/11923uPwbBZFjjGgGUA6NLw09EwE0CqkOc4q9oUmW1yo/edit?usp=sharing"",""สุโขทัย!J193"")"),1)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IFERROR(__xludf.DUMMYFUNCTION("IMPORTRANGE(""https://docs.google.com/spreadsheets/d/11923uPwbBZFjjGgGUA6NLw09EwE0CqkOc4q9oUmW1yo/edit?usp=sharing"",""สุโขทัย!J194"")"),1)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IFERROR(__xludf.DUMMYFUNCTION("IMPORTRANGE(""https://docs.google.com/spreadsheets/d/11923uPwbBZFjjGgGUA6NLw09EwE0CqkOc4q9oUmW1yo/edit?usp=sharing"",""สุโขทัย!I195"")"),15)</f>
        <v>15</v>
      </c>
      <c r="J285" s="188">
        <f ca="1">IFERROR(__xludf.DUMMYFUNCTION("IMPORTRANGE(""https://docs.google.com/spreadsheets/d/11923uPwbBZFjjGgGUA6NLw09EwE0CqkOc4q9oUmW1yo/edit?usp=sharing"",""สุโขทัย!J195"")"),15)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IFERROR(__xludf.DUMMYFUNCTION("IMPORTRANGE(""https://docs.google.com/spreadsheets/d/11923uPwbBZFjjGgGUA6NLw09EwE0CqkOc4q9oUmW1yo/edit?usp=sharing"",""สุโขทัย!J196"")"),0)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IFERROR(__xludf.DUMMYFUNCTION("IMPORTRANGE(""https://docs.google.com/spreadsheets/d/11923uPwbBZFjjGgGUA6NLw09EwE0CqkOc4q9oUmW1yo/edit?usp=sharing"",""สุโขทัย!J197"")"),0)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IFERROR(__xludf.DUMMYFUNCTION("IMPORTRANGE(""https://docs.google.com/spreadsheets/d/11923uPwbBZFjjGgGUA6NLw09EwE0CqkOc4q9oUmW1yo/edit?usp=sharing"",""สุโขทัย!I199"")"),0)</f>
        <v>0</v>
      </c>
      <c r="J289" s="314">
        <f ca="1">IFERROR(__xludf.DUMMYFUNCTION("IMPORTRANGE(""https://docs.google.com/spreadsheets/d/11923uPwbBZFjjGgGUA6NLw09EwE0CqkOc4q9oUmW1yo/edit?usp=sharing"",""สุโขทัย!J199"")"),0)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IFERROR(__xludf.DUMMYFUNCTION("IMPORTRANGE(""https://docs.google.com/spreadsheets/d/1Yj_ptqi66GCucihVvJfMjLAmec39IyEx_6qawtMGysU/edit?usp=sharing"",""สบก!CT34"")"),0)</f>
        <v>0</v>
      </c>
      <c r="N294" s="168">
        <f ca="1">IFERROR(__xludf.DUMMYFUNCTION("IMPORTRANGE(""https://docs.google.com/spreadsheets/d/1Yj_ptqi66GCucihVvJfMjLAmec39IyEx_6qawtMGysU/edit?usp=sharing"",""สบก!CU34"")"),0)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IFERROR(__xludf.DUMMYFUNCTION("IMPORTRANGE(""https://docs.google.com/spreadsheets/d/1Yj_ptqi66GCucihVvJfMjLAmec39IyEx_6qawtMGysU/edit?usp=sharing"",""สบก!CP34"")"),0)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IFERROR(__xludf.DUMMYFUNCTION("IMPORTRANGE(""https://docs.google.com/spreadsheets/d/1Yj_ptqi66GCucihVvJfMjLAmec39IyEx_6qawtMGysU/edit?usp=sharing"",""สบก!CQ34"")"),0)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IFERROR(__xludf.DUMMYFUNCTION("IMPORTRANGE(""https://docs.google.com/spreadsheets/d/1Yj_ptqi66GCucihVvJfMjLAmec39IyEx_6qawtMGysU/edit?usp=sharing"",""สบก!CR34"")"),0)</f>
        <v>0</v>
      </c>
      <c r="M298" s="49"/>
      <c r="N298" s="49">
        <f ca="1">IFERROR(__xludf.DUMMYFUNCTION("IMPORTRANGE(""https://docs.google.com/spreadsheets/d/1Yj_ptqi66GCucihVvJfMjLAmec39IyEx_6qawtMGysU/edit?usp=sharing"",""สบก!CV34"")"),0)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IFERROR(__xludf.DUMMYFUNCTION("IMPORTRANGE(""https://docs.google.com/spreadsheets/d/11923uPwbBZFjjGgGUA6NLw09EwE0CqkOc4q9oUmW1yo/edit?usp=sharing"",""สุโขทัย!J205"")"),0)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IFERROR(__xludf.DUMMYFUNCTION("IMPORTRANGE(""https://docs.google.com/spreadsheets/d/11923uPwbBZFjjGgGUA6NLw09EwE0CqkOc4q9oUmW1yo/edit?usp=sharing"",""สุโขทัย!J206"")"),0)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IFERROR(__xludf.DUMMYFUNCTION("IMPORTRANGE(""https://docs.google.com/spreadsheets/d/11923uPwbBZFjjGgGUA6NLw09EwE0CqkOc4q9oUmW1yo/edit?usp=sharing"",""สุโขทัย!J207"")"),0)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IFERROR(__xludf.DUMMYFUNCTION("IMPORTRANGE(""https://docs.google.com/spreadsheets/d/11923uPwbBZFjjGgGUA6NLw09EwE0CqkOc4q9oUmW1yo/edit?usp=sharing"",""สุโขทัย!J208"")"),0)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IFERROR(__xludf.DUMMYFUNCTION("IMPORTRANGE(""https://docs.google.com/spreadsheets/d/11923uPwbBZFjjGgGUA6NLw09EwE0CqkOc4q9oUmW1yo/edit?usp=sharing"",""สุโขทัย!I209"")"),0)</f>
        <v>0</v>
      </c>
      <c r="J304" s="203">
        <f ca="1">IFERROR(__xludf.DUMMYFUNCTION("IMPORTRANGE(""https://docs.google.com/spreadsheets/d/11923uPwbBZFjjGgGUA6NLw09EwE0CqkOc4q9oUmW1yo/edit?usp=sharing"",""สุโขทัย!J209"")"),0)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IFERROR(__xludf.DUMMYFUNCTION("IMPORTRANGE(""https://docs.google.com/spreadsheets/d/11923uPwbBZFjjGgGUA6NLw09EwE0CqkOc4q9oUmW1yo/edit?usp=sharing"",""สุโขทัย!I211"")"),0)</f>
        <v>0</v>
      </c>
      <c r="J306" s="203">
        <f ca="1">IFERROR(__xludf.DUMMYFUNCTION("IMPORTRANGE(""https://docs.google.com/spreadsheets/d/11923uPwbBZFjjGgGUA6NLw09EwE0CqkOc4q9oUmW1yo/edit?usp=sharing"",""สุโขทัย!J211"")"),0)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IFERROR(__xludf.DUMMYFUNCTION("IMPORTRANGE(""https://docs.google.com/spreadsheets/d/11923uPwbBZFjjGgGUA6NLw09EwE0CqkOc4q9oUmW1yo/edit?usp=sharing"",""สุโขทัย!J212"")"),0)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IFERROR(__xludf.DUMMYFUNCTION("IMPORTRANGE(""https://docs.google.com/spreadsheets/d/11923uPwbBZFjjGgGUA6NLw09EwE0CqkOc4q9oUmW1yo/edit?usp=sharing"",""สุโขทัย!J213"")"),0)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IFERROR(__xludf.DUMMYFUNCTION("IMPORTRANGE(""https://docs.google.com/spreadsheets/d/11923uPwbBZFjjGgGUA6NLw09EwE0CqkOc4q9oUmW1yo/edit?usp=sharing"",""สุโขทัย!I214"")"),0)</f>
        <v>0</v>
      </c>
      <c r="J309" s="331">
        <f ca="1">IFERROR(__xludf.DUMMYFUNCTION("IMPORTRANGE(""https://docs.google.com/spreadsheets/d/11923uPwbBZFjjGgGUA6NLw09EwE0CqkOc4q9oUmW1yo/edit?usp=sharing"",""สุโขทัย!J214"")"),0)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IFERROR(__xludf.DUMMYFUNCTION("IMPORTRANGE(""https://docs.google.com/spreadsheets/d/1Yj_ptqi66GCucihVvJfMjLAmec39IyEx_6qawtMGysU/edit?usp=sharing"",""สบก!DC34"")"),0)</f>
        <v>0</v>
      </c>
      <c r="N314" s="168">
        <f ca="1">IFERROR(__xludf.DUMMYFUNCTION("IMPORTRANGE(""https://docs.google.com/spreadsheets/d/1Yj_ptqi66GCucihVvJfMjLAmec39IyEx_6qawtMGysU/edit?usp=sharing"",""สบก!DD34"")"),0)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IFERROR(__xludf.DUMMYFUNCTION("IMPORTRANGE(""https://docs.google.com/spreadsheets/d/1Yj_ptqi66GCucihVvJfMjLAmec39IyEx_6qawtMGysU/edit?usp=sharing"",""สบก!CY34"")"),0)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IFERROR(__xludf.DUMMYFUNCTION("IMPORTRANGE(""https://docs.google.com/spreadsheets/d/1Yj_ptqi66GCucihVvJfMjLAmec39IyEx_6qawtMGysU/edit?usp=sharing"",""สบก!CZ34"")"),0)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IFERROR(__xludf.DUMMYFUNCTION("IMPORTRANGE(""https://docs.google.com/spreadsheets/d/1Yj_ptqi66GCucihVvJfMjLAmec39IyEx_6qawtMGysU/edit?usp=sharing"",""สบก!DA34"")"),0)</f>
        <v>0</v>
      </c>
      <c r="M318" s="49"/>
      <c r="N318" s="49">
        <f ca="1">IFERROR(__xludf.DUMMYFUNCTION("IMPORTRANGE(""https://docs.google.com/spreadsheets/d/1Yj_ptqi66GCucihVvJfMjLAmec39IyEx_6qawtMGysU/edit?usp=sharing"",""สบก!DE34"")"),0)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IFERROR(__xludf.DUMMYFUNCTION("IMPORTRANGE(""https://docs.google.com/spreadsheets/d/11923uPwbBZFjjGgGUA6NLw09EwE0CqkOc4q9oUmW1yo/edit?usp=sharing"",""สุโขทัย!J220"")"),0)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IFERROR(__xludf.DUMMYFUNCTION("IMPORTRANGE(""https://docs.google.com/spreadsheets/d/11923uPwbBZFjjGgGUA6NLw09EwE0CqkOc4q9oUmW1yo/edit?usp=sharing"",""สุโขทัย!J221"")"),0)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IFERROR(__xludf.DUMMYFUNCTION("IMPORTRANGE(""https://docs.google.com/spreadsheets/d/11923uPwbBZFjjGgGUA6NLw09EwE0CqkOc4q9oUmW1yo/edit?usp=sharing"",""สุโขทัย!J222"")"),0)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IFERROR(__xludf.DUMMYFUNCTION("IMPORTRANGE(""https://docs.google.com/spreadsheets/d/11923uPwbBZFjjGgGUA6NLw09EwE0CqkOc4q9oUmW1yo/edit?usp=sharing"",""สุโขทัย!J223"")"),0)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IFERROR(__xludf.DUMMYFUNCTION("IMPORTRANGE(""https://docs.google.com/spreadsheets/d/11923uPwbBZFjjGgGUA6NLw09EwE0CqkOc4q9oUmW1yo/edit?usp=sharing"",""สุโขทัย!I224"")"),0)</f>
        <v>0</v>
      </c>
      <c r="J324" s="203">
        <f ca="1">IFERROR(__xludf.DUMMYFUNCTION("IMPORTRANGE(""https://docs.google.com/spreadsheets/d/11923uPwbBZFjjGgGUA6NLw09EwE0CqkOc4q9oUmW1yo/edit?usp=sharing"",""สุโขทัย!J224"")"),0)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IFERROR(__xludf.DUMMYFUNCTION("IMPORTRANGE(""https://docs.google.com/spreadsheets/d/11923uPwbBZFjjGgGUA6NLw09EwE0CqkOc4q9oUmW1yo/edit?usp=sharing"",""สุโขทัย!J225"")"),0)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IFERROR(__xludf.DUMMYFUNCTION("IMPORTRANGE(""https://docs.google.com/spreadsheets/d/11923uPwbBZFjjGgGUA6NLw09EwE0CqkOc4q9oUmW1yo/edit?usp=sharing"",""สุโขทัย!J226"")"),0)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IFERROR(__xludf.DUMMYFUNCTION("IMPORTRANGE(""https://docs.google.com/spreadsheets/d/11923uPwbBZFjjGgGUA6NLw09EwE0CqkOc4q9oUmW1yo/edit?usp=sharing"",""สุโขทัย!I228"")"),270)</f>
        <v>270</v>
      </c>
      <c r="J328" s="337">
        <f ca="1">IFERROR(__xludf.DUMMYFUNCTION("IMPORTRANGE(""https://docs.google.com/spreadsheets/d/11923uPwbBZFjjGgGUA6NLw09EwE0CqkOc4q9oUmW1yo/edit?usp=sharing"",""สุโขทัย!J228"")"),50)</f>
        <v>50</v>
      </c>
      <c r="K328" s="315">
        <f ca="1">IF(I328&gt;0,J328*100/I328,0)</f>
        <v>18.518518518518519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868030</v>
      </c>
      <c r="M329" s="151">
        <f t="shared" ca="1" si="98"/>
        <v>459580</v>
      </c>
      <c r="N329" s="151">
        <f t="shared" ca="1" si="98"/>
        <v>329420</v>
      </c>
      <c r="O329" s="150">
        <f t="shared" ref="O329:O331" ca="1" si="99">IF(L329&gt;0,N329*100/L329,0)</f>
        <v>37.950301256869004</v>
      </c>
      <c r="P329" s="150">
        <f t="shared" ref="P329:P331" ca="1" si="100">IF(M329&gt;0,N329*100/M329,0)</f>
        <v>71.678489055224333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868030</v>
      </c>
      <c r="M331" s="87">
        <f t="shared" ca="1" si="102"/>
        <v>459580</v>
      </c>
      <c r="N331" s="87">
        <f t="shared" ca="1" si="102"/>
        <v>329420</v>
      </c>
      <c r="O331" s="155">
        <f t="shared" ca="1" si="99"/>
        <v>37.950301256869004</v>
      </c>
      <c r="P331" s="155">
        <f t="shared" ca="1" si="100"/>
        <v>71.678489055224333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868030</v>
      </c>
      <c r="M333" s="167">
        <f ca="1">IFERROR(__xludf.DUMMYFUNCTION("IMPORTRANGE(""https://docs.google.com/spreadsheets/d/1Yj_ptqi66GCucihVvJfMjLAmec39IyEx_6qawtMGysU/edit?usp=sharing"",""สบก!DL34"")"),459580)</f>
        <v>459580</v>
      </c>
      <c r="N333" s="168">
        <f ca="1">IFERROR(__xludf.DUMMYFUNCTION("IMPORTRANGE(""https://docs.google.com/spreadsheets/d/1Yj_ptqi66GCucihVvJfMjLAmec39IyEx_6qawtMGysU/edit?usp=sharing"",""สบก!DM34"")"),329420)</f>
        <v>329420</v>
      </c>
      <c r="O333" s="168">
        <f ca="1">IF(L333&gt;0,N333*100/L333,0)</f>
        <v>37.950301256869004</v>
      </c>
      <c r="P333" s="168">
        <f ca="1">IF(M333&gt;0,N333*100/M333,0)</f>
        <v>71.678489055224333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IFERROR(__xludf.DUMMYFUNCTION("IMPORTRANGE(""https://docs.google.com/spreadsheets/d/1Yj_ptqi66GCucihVvJfMjLAmec39IyEx_6qawtMGysU/edit?usp=sharing"",""สบก!DH34"")"),529200)</f>
        <v>529200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IFERROR(__xludf.DUMMYFUNCTION("IMPORTRANGE(""https://docs.google.com/spreadsheets/d/1Yj_ptqi66GCucihVvJfMjLAmec39IyEx_6qawtMGysU/edit?usp=sharing"",""สบก!DI34"")"),338830)</f>
        <v>338830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IFERROR(__xludf.DUMMYFUNCTION("IMPORTRANGE(""https://docs.google.com/spreadsheets/d/1Yj_ptqi66GCucihVvJfMjLAmec39IyEx_6qawtMGysU/edit?usp=sharing"",""สบก!DJ34"")"),0)</f>
        <v>0</v>
      </c>
      <c r="M337" s="49"/>
      <c r="N337" s="49">
        <f ca="1">IFERROR(__xludf.DUMMYFUNCTION("IMPORTRANGE(""https://docs.google.com/spreadsheets/d/1Yj_ptqi66GCucihVvJfMjLAmec39IyEx_6qawtMGysU/edit?usp=sharing"",""สบก!DN34"")"),0)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IFERROR(__xludf.DUMMYFUNCTION("IMPORTRANGE(""https://docs.google.com/spreadsheets/d/11923uPwbBZFjjGgGUA6NLw09EwE0CqkOc4q9oUmW1yo/edit?usp=sharing"",""สุโขทัย!I234"")"),0)</f>
        <v>0</v>
      </c>
      <c r="J339" s="187">
        <f ca="1">IFERROR(__xludf.DUMMYFUNCTION("IMPORTRANGE(""https://docs.google.com/spreadsheets/d/11923uPwbBZFjjGgGUA6NLw09EwE0CqkOc4q9oUmW1yo/edit?usp=sharing"",""สุโขทัย!J234"")"),88)</f>
        <v>88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IFERROR(__xludf.DUMMYFUNCTION("IMPORTRANGE(""https://docs.google.com/spreadsheets/d/11923uPwbBZFjjGgGUA6NLw09EwE0CqkOc4q9oUmW1yo/edit?usp=sharing"",""สุโขทัย!I235"")"),1440)</f>
        <v>1440</v>
      </c>
      <c r="J340" s="187">
        <f ca="1">IFERROR(__xludf.DUMMYFUNCTION("IMPORTRANGE(""https://docs.google.com/spreadsheets/d/11923uPwbBZFjjGgGUA6NLw09EwE0CqkOc4q9oUmW1yo/edit?usp=sharing"",""สุโขทัย!J235"")"),805.869999999999)</f>
        <v>805.86999999999898</v>
      </c>
      <c r="K340" s="340">
        <f t="shared" ca="1" si="103"/>
        <v>55.963194444444376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IFERROR(__xludf.DUMMYFUNCTION("IMPORTRANGE(""https://docs.google.com/spreadsheets/d/11923uPwbBZFjjGgGUA6NLw09EwE0CqkOc4q9oUmW1yo/edit?usp=sharing"",""สุโขทัย!I236"")"),270)</f>
        <v>270</v>
      </c>
      <c r="J341" s="187">
        <f ca="1">IFERROR(__xludf.DUMMYFUNCTION("IMPORTRANGE(""https://docs.google.com/spreadsheets/d/11923uPwbBZFjjGgGUA6NLw09EwE0CqkOc4q9oUmW1yo/edit?usp=sharing"",""สุโขทัย!J236"")"),114)</f>
        <v>114</v>
      </c>
      <c r="K341" s="340">
        <f t="shared" ca="1" si="103"/>
        <v>42.222222222222221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IFERROR(__xludf.DUMMYFUNCTION("IMPORTRANGE(""https://docs.google.com/spreadsheets/d/11923uPwbBZFjjGgGUA6NLw09EwE0CqkOc4q9oUmW1yo/edit?usp=sharing"",""สุโขทัย!I237"")"),0)</f>
        <v>0</v>
      </c>
      <c r="J342" s="187">
        <f ca="1">IFERROR(__xludf.DUMMYFUNCTION("IMPORTRANGE(""https://docs.google.com/spreadsheets/d/11923uPwbBZFjjGgGUA6NLw09EwE0CqkOc4q9oUmW1yo/edit?usp=sharing"",""สุโขทัย!J237"")"),1296.48)</f>
        <v>1296.48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IFERROR(__xludf.DUMMYFUNCTION("IMPORTRANGE(""https://docs.google.com/spreadsheets/d/11923uPwbBZFjjGgGUA6NLw09EwE0CqkOc4q9oUmW1yo/edit?usp=sharing"",""สุโขทัย!I238"")"),270)</f>
        <v>270</v>
      </c>
      <c r="J343" s="187">
        <f ca="1">IFERROR(__xludf.DUMMYFUNCTION("IMPORTRANGE(""https://docs.google.com/spreadsheets/d/11923uPwbBZFjjGgGUA6NLw09EwE0CqkOc4q9oUmW1yo/edit?usp=sharing"",""สุโขทัย!J238"")"),0)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IFERROR(__xludf.DUMMYFUNCTION("IMPORTRANGE(""https://docs.google.com/spreadsheets/d/11923uPwbBZFjjGgGUA6NLw09EwE0CqkOc4q9oUmW1yo/edit?usp=sharing"",""สุโขทัย!I239"")"),0)</f>
        <v>0</v>
      </c>
      <c r="J344" s="187">
        <f ca="1">IFERROR(__xludf.DUMMYFUNCTION("IMPORTRANGE(""https://docs.google.com/spreadsheets/d/11923uPwbBZFjjGgGUA6NLw09EwE0CqkOc4q9oUmW1yo/edit?usp=sharing"",""สุโขทัย!J239"")"),0)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IFERROR(__xludf.DUMMYFUNCTION("IMPORTRANGE(""https://docs.google.com/spreadsheets/d/11923uPwbBZFjjGgGUA6NLw09EwE0CqkOc4q9oUmW1yo/edit?usp=sharing"",""สุโขทัย!I240"")"),270)</f>
        <v>270</v>
      </c>
      <c r="J345" s="187">
        <f ca="1">IFERROR(__xludf.DUMMYFUNCTION("IMPORTRANGE(""https://docs.google.com/spreadsheets/d/11923uPwbBZFjjGgGUA6NLw09EwE0CqkOc4q9oUmW1yo/edit?usp=sharing"",""สุโขทัย!J240"")"),50)</f>
        <v>50</v>
      </c>
      <c r="K345" s="340">
        <f t="shared" ca="1" si="103"/>
        <v>18.518518518518519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IFERROR(__xludf.DUMMYFUNCTION("IMPORTRANGE(""https://docs.google.com/spreadsheets/d/11923uPwbBZFjjGgGUA6NLw09EwE0CqkOc4q9oUmW1yo/edit?usp=sharing"",""สุโขทัย!I241"")"),0)</f>
        <v>0</v>
      </c>
      <c r="J346" s="187">
        <f ca="1">IFERROR(__xludf.DUMMYFUNCTION("IMPORTRANGE(""https://docs.google.com/spreadsheets/d/11923uPwbBZFjjGgGUA6NLw09EwE0CqkOc4q9oUmW1yo/edit?usp=sharing"",""สุโขทัย!J241"")"),697.94)</f>
        <v>697.94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IFERROR(__xludf.DUMMYFUNCTION("IMPORTRANGE(""https://docs.google.com/spreadsheets/d/11923uPwbBZFjjGgGUA6NLw09EwE0CqkOc4q9oUmW1yo/edit?usp=sharing"",""สุโขทัย!L242"")"),1960983)</f>
        <v>1960983</v>
      </c>
      <c r="M347" s="356"/>
      <c r="N347" s="356">
        <f ca="1">IFERROR(__xludf.DUMMYFUNCTION("IMPORTRANGE(""https://docs.google.com/spreadsheets/d/11923uPwbBZFjjGgGUA6NLw09EwE0CqkOc4q9oUmW1yo/edit?usp=sharing"",""สุโขทัย!M242"")"),509265.48)</f>
        <v>509265.48</v>
      </c>
      <c r="O347" s="356">
        <f ca="1">+IF(L347&gt;0,N347*100/L347,0)</f>
        <v>25.969907949227505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IFERROR(__xludf.DUMMYFUNCTION("IMPORTRANGE(""https://docs.google.com/spreadsheets/d/11923uPwbBZFjjGgGUA6NLw09EwE0CqkOc4q9oUmW1yo/edit?usp=sharing"",""สุโขทัย!I244"")"),80)</f>
        <v>80</v>
      </c>
      <c r="J349" s="369">
        <f ca="1">IFERROR(__xludf.DUMMYFUNCTION("IMPORTRANGE(""https://docs.google.com/spreadsheets/d/11923uPwbBZFjjGgGUA6NLw09EwE0CqkOc4q9oUmW1yo/edit?usp=sharing"",""สุโขทัย!J244"")"),0)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IFERROR(__xludf.DUMMYFUNCTION("IMPORTRANGE(""https://docs.google.com/spreadsheets/d/11923uPwbBZFjjGgGUA6NLw09EwE0CqkOc4q9oUmW1yo/edit?usp=sharing"",""สุโขทัย!L244"")"),367080)</f>
        <v>367080</v>
      </c>
      <c r="M349" s="371"/>
      <c r="N349" s="371">
        <f ca="1">IFERROR(__xludf.DUMMYFUNCTION("IMPORTRANGE(""https://docs.google.com/spreadsheets/d/11923uPwbBZFjjGgGUA6NLw09EwE0CqkOc4q9oUmW1yo/edit?usp=sharing"",""สุโขทัย!M244"")"),120300)</f>
        <v>120300</v>
      </c>
      <c r="O349" s="371">
        <f ca="1">+IF(L349&gt;0,N349*100/L349,0)</f>
        <v>32.772147760706112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IFERROR(__xludf.DUMMYFUNCTION("IMPORTRANGE(""https://docs.google.com/spreadsheets/d/11923uPwbBZFjjGgGUA6NLw09EwE0CqkOc4q9oUmW1yo/edit?usp=sharing"",""สุโขทัย!I245"")"),80)</f>
        <v>80</v>
      </c>
      <c r="J350" s="369">
        <f ca="1">IFERROR(__xludf.DUMMYFUNCTION("IMPORTRANGE(""https://docs.google.com/spreadsheets/d/11923uPwbBZFjjGgGUA6NLw09EwE0CqkOc4q9oUmW1yo/edit?usp=sharing"",""สุโขทัย!J245"")"),80)</f>
        <v>80</v>
      </c>
      <c r="K350" s="370">
        <f t="shared" ca="1" si="104"/>
        <v>100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IFERROR(__xludf.DUMMYFUNCTION("IMPORTRANGE(""https://docs.google.com/spreadsheets/d/11923uPwbBZFjjGgGUA6NLw09EwE0CqkOc4q9oUmW1yo/edit?usp=sharing"",""สุโขทัย!L246"")"),0)</f>
        <v>0</v>
      </c>
      <c r="M351" s="164"/>
      <c r="N351" s="164">
        <f ca="1">IFERROR(__xludf.DUMMYFUNCTION("IMPORTRANGE(""https://docs.google.com/spreadsheets/d/11923uPwbBZFjjGgGUA6NLw09EwE0CqkOc4q9oUmW1yo/edit?usp=sharing"",""สุโขทัย!M246"")"),0)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IFERROR(__xludf.DUMMYFUNCTION("IMPORTRANGE(""https://docs.google.com/spreadsheets/d/11923uPwbBZFjjGgGUA6NLw09EwE0CqkOc4q9oUmW1yo/edit?usp=sharing"",""สุโขทัย!L247"")"),367080)</f>
        <v>367080</v>
      </c>
      <c r="M352" s="165"/>
      <c r="N352" s="164">
        <f ca="1">IFERROR(__xludf.DUMMYFUNCTION("IMPORTRANGE(""https://docs.google.com/spreadsheets/d/11923uPwbBZFjjGgGUA6NLw09EwE0CqkOc4q9oUmW1yo/edit?usp=sharing"",""สุโขทัย!M247"")"),120300)</f>
        <v>120300</v>
      </c>
      <c r="O352" s="165">
        <f t="shared" ca="1" si="105"/>
        <v>32.772147760706112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IFERROR(__xludf.DUMMYFUNCTION("IMPORTRANGE(""https://docs.google.com/spreadsheets/d/11923uPwbBZFjjGgGUA6NLw09EwE0CqkOc4q9oUmW1yo/edit?usp=sharing"",""สุโขทัย!L248"")"),0)</f>
        <v>0</v>
      </c>
      <c r="M353" s="168"/>
      <c r="N353" s="168">
        <f ca="1">IFERROR(__xludf.DUMMYFUNCTION("IMPORTRANGE(""https://docs.google.com/spreadsheets/d/11923uPwbBZFjjGgGUA6NLw09EwE0CqkOc4q9oUmW1yo/edit?usp=sharing"",""สุโขทัย!M248"")"),0)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IFERROR(__xludf.DUMMYFUNCTION("IMPORTRANGE(""https://docs.google.com/spreadsheets/d/11923uPwbBZFjjGgGUA6NLw09EwE0CqkOc4q9oUmW1yo/edit?usp=sharing"",""สุโขทัย!L249"")"),367080)</f>
        <v>367080</v>
      </c>
      <c r="M354" s="168"/>
      <c r="N354" s="167">
        <f ca="1">IFERROR(__xludf.DUMMYFUNCTION("IMPORTRANGE(""https://docs.google.com/spreadsheets/d/11923uPwbBZFjjGgGUA6NLw09EwE0CqkOc4q9oUmW1yo/edit?usp=sharing"",""สุโขทัย!M249"")"),120300)</f>
        <v>120300</v>
      </c>
      <c r="O354" s="168">
        <f t="shared" ca="1" si="105"/>
        <v>32.772147760706112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IFERROR(__xludf.DUMMYFUNCTION("IMPORTRANGE(""https://docs.google.com/spreadsheets/d/11923uPwbBZFjjGgGUA6NLw09EwE0CqkOc4q9oUmW1yo/edit?usp=sharing"",""สุโขทัย!M250"")"),76580)</f>
        <v>76580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IFERROR(__xludf.DUMMYFUNCTION("IMPORTRANGE(""https://docs.google.com/spreadsheets/d/11923uPwbBZFjjGgGUA6NLw09EwE0CqkOc4q9oUmW1yo/edit?usp=sharing"",""สุโขทัย!M251"")"),0)</f>
        <v>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IFERROR(__xludf.DUMMYFUNCTION("IMPORTRANGE(""https://docs.google.com/spreadsheets/d/11923uPwbBZFjjGgGUA6NLw09EwE0CqkOc4q9oUmW1yo/edit?usp=sharing"",""สุโขทัย!M252"")"),33000)</f>
        <v>33000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IFERROR(__xludf.DUMMYFUNCTION("IMPORTRANGE(""https://docs.google.com/spreadsheets/d/11923uPwbBZFjjGgGUA6NLw09EwE0CqkOc4q9oUmW1yo/edit?usp=sharing"",""สุโขทัย!M253"")"),10720)</f>
        <v>10720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IFERROR(__xludf.DUMMYFUNCTION("IMPORTRANGE(""https://docs.google.com/spreadsheets/d/11923uPwbBZFjjGgGUA6NLw09EwE0CqkOc4q9oUmW1yo/edit?usp=sharing"",""สุโขทัย!J255"")"),0)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IFERROR(__xludf.DUMMYFUNCTION("IMPORTRANGE(""https://docs.google.com/spreadsheets/d/11923uPwbBZFjjGgGUA6NLw09EwE0CqkOc4q9oUmW1yo/edit?usp=sharing"",""สุโขทัย!J256"")"),1)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IFERROR(__xludf.DUMMYFUNCTION("IMPORTRANGE(""https://docs.google.com/spreadsheets/d/11923uPwbBZFjjGgGUA6NLw09EwE0CqkOc4q9oUmW1yo/edit?usp=sharing"",""สุโขทัย!J257"")"),1)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IFERROR(__xludf.DUMMYFUNCTION("IMPORTRANGE(""https://docs.google.com/spreadsheets/d/11923uPwbBZFjjGgGUA6NLw09EwE0CqkOc4q9oUmW1yo/edit?usp=sharing"",""สุโขทัย!J258"")"),1)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IFERROR(__xludf.DUMMYFUNCTION("IMPORTRANGE(""https://docs.google.com/spreadsheets/d/11923uPwbBZFjjGgGUA6NLw09EwE0CqkOc4q9oUmW1yo/edit?usp=sharing"",""สุโขทัย!J166"")"),0)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IFERROR(__xludf.DUMMYFUNCTION("IMPORTRANGE(""https://docs.google.com/spreadsheets/d/11923uPwbBZFjjGgGUA6NLw09EwE0CqkOc4q9oUmW1yo/edit?usp=sharing"",""สุโขทัย!J166"")"),0)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IFERROR(__xludf.DUMMYFUNCTION("IMPORTRANGE(""https://docs.google.com/spreadsheets/d/11923uPwbBZFjjGgGUA6NLw09EwE0CqkOc4q9oUmW1yo/edit?usp=sharing"",""สุโขทัย!J166"")"),0)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IFERROR(__xludf.DUMMYFUNCTION("IMPORTRANGE(""https://docs.google.com/spreadsheets/d/11923uPwbBZFjjGgGUA6NLw09EwE0CqkOc4q9oUmW1yo/edit?usp=sharing"",""สุโขทัย!J166"")"),0)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IFERROR(__xludf.DUMMYFUNCTION("IMPORTRANGE(""https://docs.google.com/spreadsheets/d/11923uPwbBZFjjGgGUA6NLw09EwE0CqkOc4q9oUmW1yo/edit?usp=sharing"",""สุโขทัย!I263"")"),80)</f>
        <v>80</v>
      </c>
      <c r="J368" s="187">
        <f ca="1">IFERROR(__xludf.DUMMYFUNCTION("IMPORTRANGE(""https://docs.google.com/spreadsheets/d/11923uPwbBZFjjGgGUA6NLw09EwE0CqkOc4q9oUmW1yo/edit?usp=sharing"",""สุโขทัย!J263"")"),80)</f>
        <v>80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IFERROR(__xludf.DUMMYFUNCTION("IMPORTRANGE(""https://docs.google.com/spreadsheets/d/11923uPwbBZFjjGgGUA6NLw09EwE0CqkOc4q9oUmW1yo/edit?usp=sharing"",""สุโขทัย!I164"")"),0)</f>
        <v>0</v>
      </c>
      <c r="J369" s="203">
        <f ca="1">IFERROR(__xludf.DUMMYFUNCTION("IMPORTRANGE(""https://docs.google.com/spreadsheets/d/11923uPwbBZFjjGgGUA6NLw09EwE0CqkOc4q9oUmW1yo/edit?usp=sharing"",""สุโขทัย!J164"")"),0)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IFERROR(__xludf.DUMMYFUNCTION("IMPORTRANGE(""https://docs.google.com/spreadsheets/d/11923uPwbBZFjjGgGUA6NLw09EwE0CqkOc4q9oUmW1yo/edit?usp=sharing"",""สุโขทัย!I265"")"),80)</f>
        <v>80</v>
      </c>
      <c r="J370" s="203">
        <f ca="1">IFERROR(__xludf.DUMMYFUNCTION("IMPORTRANGE(""https://docs.google.com/spreadsheets/d/11923uPwbBZFjjGgGUA6NLw09EwE0CqkOc4q9oUmW1yo/edit?usp=sharing"",""สุโขทัย!J265"")"),80)</f>
        <v>80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IFERROR(__xludf.DUMMYFUNCTION("IMPORTRANGE(""https://docs.google.com/spreadsheets/d/11923uPwbBZFjjGgGUA6NLw09EwE0CqkOc4q9oUmW1yo/edit?usp=sharing"",""สุโขทัย!I164"")"),0)</f>
        <v>0</v>
      </c>
      <c r="J371" s="188">
        <f ca="1">IFERROR(__xludf.DUMMYFUNCTION("IMPORTRANGE(""https://docs.google.com/spreadsheets/d/11923uPwbBZFjjGgGUA6NLw09EwE0CqkOc4q9oUmW1yo/edit?usp=sharing"",""สุโขทัย!J164"")"),0)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IFERROR(__xludf.DUMMYFUNCTION("IMPORTRANGE(""https://docs.google.com/spreadsheets/d/11923uPwbBZFjjGgGUA6NLw09EwE0CqkOc4q9oUmW1yo/edit?usp=sharing"",""สุโขทัย!I267"")"),80)</f>
        <v>80</v>
      </c>
      <c r="J372" s="188">
        <f ca="1">IFERROR(__xludf.DUMMYFUNCTION("IMPORTRANGE(""https://docs.google.com/spreadsheets/d/11923uPwbBZFjjGgGUA6NLw09EwE0CqkOc4q9oUmW1yo/edit?usp=sharing"",""สุโขทัย!J267"")"),80)</f>
        <v>80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IFERROR(__xludf.DUMMYFUNCTION("IMPORTRANGE(""https://docs.google.com/spreadsheets/d/11923uPwbBZFjjGgGUA6NLw09EwE0CqkOc4q9oUmW1yo/edit?usp=sharing"",""สุโขทัย!I164"")"),0)</f>
        <v>0</v>
      </c>
      <c r="J373" s="203">
        <f ca="1">IFERROR(__xludf.DUMMYFUNCTION("IMPORTRANGE(""https://docs.google.com/spreadsheets/d/11923uPwbBZFjjGgGUA6NLw09EwE0CqkOc4q9oUmW1yo/edit?usp=sharing"",""สุโขทัย!J164"")"),0)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IFERROR(__xludf.DUMMYFUNCTION("IMPORTRANGE(""https://docs.google.com/spreadsheets/d/11923uPwbBZFjjGgGUA6NLw09EwE0CqkOc4q9oUmW1yo/edit?usp=sharing"",""สุโขทัย!I164"")"),0)</f>
        <v>0</v>
      </c>
      <c r="J374" s="187">
        <f ca="1">IFERROR(__xludf.DUMMYFUNCTION("IMPORTRANGE(""https://docs.google.com/spreadsheets/d/11923uPwbBZFjjGgGUA6NLw09EwE0CqkOc4q9oUmW1yo/edit?usp=sharing"",""สุโขทัย!J164"")"),0)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IFERROR(__xludf.DUMMYFUNCTION("IMPORTRANGE(""https://docs.google.com/spreadsheets/d/11923uPwbBZFjjGgGUA6NLw09EwE0CqkOc4q9oUmW1yo/edit?usp=sharing"",""สุโขทัย!I270"")"),80)</f>
        <v>80</v>
      </c>
      <c r="J375" s="187">
        <f ca="1">IFERROR(__xludf.DUMMYFUNCTION("IMPORTRANGE(""https://docs.google.com/spreadsheets/d/11923uPwbBZFjjGgGUA6NLw09EwE0CqkOc4q9oUmW1yo/edit?usp=sharing"",""สุโขทัย!J270"")"),0)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IFERROR(__xludf.DUMMYFUNCTION("IMPORTRANGE(""https://docs.google.com/spreadsheets/d/11923uPwbBZFjjGgGUA6NLw09EwE0CqkOc4q9oUmW1yo/edit?usp=sharing"",""สุโขทัย!I271"")"),46)</f>
        <v>46</v>
      </c>
      <c r="J376" s="188">
        <f ca="1">IFERROR(__xludf.DUMMYFUNCTION("IMPORTRANGE(""https://docs.google.com/spreadsheets/d/11923uPwbBZFjjGgGUA6NLw09EwE0CqkOc4q9oUmW1yo/edit?usp=sharing"",""สุโขทัย!J271"")"),0)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IFERROR(__xludf.DUMMYFUNCTION("IMPORTRANGE(""https://docs.google.com/spreadsheets/d/11923uPwbBZFjjGgGUA6NLw09EwE0CqkOc4q9oUmW1yo/edit?usp=sharing"",""สุโขทัย!I272"")"),34)</f>
        <v>34</v>
      </c>
      <c r="J377" s="203">
        <f ca="1">IFERROR(__xludf.DUMMYFUNCTION("IMPORTRANGE(""https://docs.google.com/spreadsheets/d/11923uPwbBZFjjGgGUA6NLw09EwE0CqkOc4q9oUmW1yo/edit?usp=sharing"",""สุโขทัย!J272"")"),0)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IFERROR(__xludf.DUMMYFUNCTION("IMPORTRANGE(""https://docs.google.com/spreadsheets/d/11923uPwbBZFjjGgGUA6NLw09EwE0CqkOc4q9oUmW1yo/edit?usp=sharing"",""สุโขทัย!J273"")"),0)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IFERROR(__xludf.DUMMYFUNCTION("IMPORTRANGE(""https://docs.google.com/spreadsheets/d/11923uPwbBZFjjGgGUA6NLw09EwE0CqkOc4q9oUmW1yo/edit?usp=sharing"",""สุโขทัย!J274"")"),0)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IFERROR(__xludf.DUMMYFUNCTION("IMPORTRANGE(""https://docs.google.com/spreadsheets/d/11923uPwbBZFjjGgGUA6NLw09EwE0CqkOc4q9oUmW1yo/edit?usp=sharing"",""สุโขทัย!I275"")"),200)</f>
        <v>200</v>
      </c>
      <c r="J380" s="369">
        <f ca="1">IFERROR(__xludf.DUMMYFUNCTION("IMPORTRANGE(""https://docs.google.com/spreadsheets/d/11923uPwbBZFjjGgGUA6NLw09EwE0CqkOc4q9oUmW1yo/edit?usp=sharing"",""สุโขทัย!J275"")"),0)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IFERROR(__xludf.DUMMYFUNCTION("IMPORTRANGE(""https://docs.google.com/spreadsheets/d/11923uPwbBZFjjGgGUA6NLw09EwE0CqkOc4q9oUmW1yo/edit?usp=sharing"",""สุโขทัย!L275"")"),207560)</f>
        <v>207560</v>
      </c>
      <c r="M380" s="371"/>
      <c r="N380" s="371">
        <f ca="1">IFERROR(__xludf.DUMMYFUNCTION("IMPORTRANGE(""https://docs.google.com/spreadsheets/d/11923uPwbBZFjjGgGUA6NLw09EwE0CqkOc4q9oUmW1yo/edit?usp=sharing"",""สุโขทัย!M275"")"),1120)</f>
        <v>1120</v>
      </c>
      <c r="O380" s="371">
        <f ca="1">+IF(L380&gt;0,N380*100/L380,0)</f>
        <v>0.5396030063596069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IFERROR(__xludf.DUMMYFUNCTION("IMPORTRANGE(""https://docs.google.com/spreadsheets/d/11923uPwbBZFjjGgGUA6NLw09EwE0CqkOc4q9oUmW1yo/edit?usp=sharing"",""สุโขทัย!I276"")"),20)</f>
        <v>20</v>
      </c>
      <c r="J381" s="369">
        <f ca="1">IFERROR(__xludf.DUMMYFUNCTION("IMPORTRANGE(""https://docs.google.com/spreadsheets/d/11923uPwbBZFjjGgGUA6NLw09EwE0CqkOc4q9oUmW1yo/edit?usp=sharing"",""สุโขทัย!J276"")"),0)</f>
        <v>0</v>
      </c>
      <c r="K381" s="370">
        <f t="shared" ca="1" si="108"/>
        <v>0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IFERROR(__xludf.DUMMYFUNCTION("IMPORTRANGE(""https://docs.google.com/spreadsheets/d/11923uPwbBZFjjGgGUA6NLw09EwE0CqkOc4q9oUmW1yo/edit?usp=sharing"",""สุโขทัย!L277"")"),0)</f>
        <v>0</v>
      </c>
      <c r="M382" s="164"/>
      <c r="N382" s="164">
        <f ca="1">IFERROR(__xludf.DUMMYFUNCTION("IMPORTRANGE(""https://docs.google.com/spreadsheets/d/11923uPwbBZFjjGgGUA6NLw09EwE0CqkOc4q9oUmW1yo/edit?usp=sharing"",""สุโขทัย!M277"")"),0)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IFERROR(__xludf.DUMMYFUNCTION("IMPORTRANGE(""https://docs.google.com/spreadsheets/d/11923uPwbBZFjjGgGUA6NLw09EwE0CqkOc4q9oUmW1yo/edit?usp=sharing"",""สุโขทัย!L278"")"),207560)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IFERROR(__xludf.DUMMYFUNCTION("IMPORTRANGE(""https://docs.google.com/spreadsheets/d/11923uPwbBZFjjGgGUA6NLw09EwE0CqkOc4q9oUmW1yo/edit?usp=sharing"",""สุโขทัย!M278"")"),1120)</f>
        <v>1120</v>
      </c>
      <c r="O383" s="165">
        <f t="shared" ca="1" si="109"/>
        <v>0.5396030063596069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IFERROR(__xludf.DUMMYFUNCTION("IMPORTRANGE(""https://docs.google.com/spreadsheets/d/11923uPwbBZFjjGgGUA6NLw09EwE0CqkOc4q9oUmW1yo/edit?usp=sharing"",""สุโขทัย!L279"")"),0)</f>
        <v>0</v>
      </c>
      <c r="M384" s="168"/>
      <c r="N384" s="168">
        <f ca="1">IFERROR(__xludf.DUMMYFUNCTION("IMPORTRANGE(""https://docs.google.com/spreadsheets/d/11923uPwbBZFjjGgGUA6NLw09EwE0CqkOc4q9oUmW1yo/edit?usp=sharing"",""สุโขทัย!M279"")"),0)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IFERROR(__xludf.DUMMYFUNCTION("IMPORTRANGE(""https://docs.google.com/spreadsheets/d/11923uPwbBZFjjGgGUA6NLw09EwE0CqkOc4q9oUmW1yo/edit?usp=sharing"",""สุโขทัย!L280"")"),207560)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IFERROR(__xludf.DUMMYFUNCTION("IMPORTRANGE(""https://docs.google.com/spreadsheets/d/11923uPwbBZFjjGgGUA6NLw09EwE0CqkOc4q9oUmW1yo/edit?usp=sharing"",""สุโขทัย!M280"")"),1120)</f>
        <v>1120</v>
      </c>
      <c r="O385" s="168">
        <f t="shared" ca="1" si="109"/>
        <v>0.5396030063596069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IFERROR(__xludf.DUMMYFUNCTION("IMPORTRANGE(""https://docs.google.com/spreadsheets/d/11923uPwbBZFjjGgGUA6NLw09EwE0CqkOc4q9oUmW1yo/edit?usp=sharing"",""สุโขทัย!M281"")"),0)</f>
        <v>0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IFERROR(__xludf.DUMMYFUNCTION("IMPORTRANGE(""https://docs.google.com/spreadsheets/d/11923uPwbBZFjjGgGUA6NLw09EwE0CqkOc4q9oUmW1yo/edit?usp=sharing"",""สุโขทัย!M282"")"),0)</f>
        <v>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IFERROR(__xludf.DUMMYFUNCTION("IMPORTRANGE(""https://docs.google.com/spreadsheets/d/11923uPwbBZFjjGgGUA6NLw09EwE0CqkOc4q9oUmW1yo/edit?usp=sharing"",""สุโขทัย!M283"")"),0)</f>
        <v>0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IFERROR(__xludf.DUMMYFUNCTION("IMPORTRANGE(""https://docs.google.com/spreadsheets/d/11923uPwbBZFjjGgGUA6NLw09EwE0CqkOc4q9oUmW1yo/edit?usp=sharing"",""สุโขทัย!M284"")"),1120)</f>
        <v>1120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IFERROR(__xludf.DUMMYFUNCTION("IMPORTRANGE(""https://docs.google.com/spreadsheets/d/11923uPwbBZFjjGgGUA6NLw09EwE0CqkOc4q9oUmW1yo/edit?usp=sharing"",""สุโขทัย!J286"")"),0)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IFERROR(__xludf.DUMMYFUNCTION("IMPORTRANGE(""https://docs.google.com/spreadsheets/d/11923uPwbBZFjjGgGUA6NLw09EwE0CqkOc4q9oUmW1yo/edit?usp=sharing"",""สุโขทัย!J287"")"),1)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IFERROR(__xludf.DUMMYFUNCTION("IMPORTRANGE(""https://docs.google.com/spreadsheets/d/11923uPwbBZFjjGgGUA6NLw09EwE0CqkOc4q9oUmW1yo/edit?usp=sharing"",""สุโขทัย!J288"")"),1)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IFERROR(__xludf.DUMMYFUNCTION("IMPORTRANGE(""https://docs.google.com/spreadsheets/d/11923uPwbBZFjjGgGUA6NLw09EwE0CqkOc4q9oUmW1yo/edit?usp=sharing"",""สุโขทัย!J289"")"),0)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IFERROR(__xludf.DUMMYFUNCTION("IMPORTRANGE(""https://docs.google.com/spreadsheets/d/11923uPwbBZFjjGgGUA6NLw09EwE0CqkOc4q9oUmW1yo/edit?usp=sharing"",""สุโขทัย!I291"")"),20)</f>
        <v>20</v>
      </c>
      <c r="J396" s="197">
        <f ca="1">IFERROR(__xludf.DUMMYFUNCTION("IMPORTRANGE(""https://docs.google.com/spreadsheets/d/11923uPwbBZFjjGgGUA6NLw09EwE0CqkOc4q9oUmW1yo/edit?usp=sharing"",""สุโขทัย!J291"")"),0)</f>
        <v>0</v>
      </c>
      <c r="K396" s="163">
        <f t="shared" ref="K396:K398" ca="1" si="110">IF(I396&gt;0,J396*100/I396,0)</f>
        <v>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IFERROR(__xludf.DUMMYFUNCTION("IMPORTRANGE(""https://docs.google.com/spreadsheets/d/11923uPwbBZFjjGgGUA6NLw09EwE0CqkOc4q9oUmW1yo/edit?usp=sharing"",""สุโขทัย!I292"")"),200)</f>
        <v>200</v>
      </c>
      <c r="J397" s="197">
        <f ca="1">IFERROR(__xludf.DUMMYFUNCTION("IMPORTRANGE(""https://docs.google.com/spreadsheets/d/11923uPwbBZFjjGgGUA6NLw09EwE0CqkOc4q9oUmW1yo/edit?usp=sharing"",""สุโขทัย!J292"")"),0)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IFERROR(__xludf.DUMMYFUNCTION("IMPORTRANGE(""https://docs.google.com/spreadsheets/d/11923uPwbBZFjjGgGUA6NLw09EwE0CqkOc4q9oUmW1yo/edit?usp=sharing"",""สุโขทัย!I293"")"),20)</f>
        <v>20</v>
      </c>
      <c r="J398" s="197">
        <f ca="1">IFERROR(__xludf.DUMMYFUNCTION("IMPORTRANGE(""https://docs.google.com/spreadsheets/d/11923uPwbBZFjjGgGUA6NLw09EwE0CqkOc4q9oUmW1yo/edit?usp=sharing"",""สุโขทัย!J293"")"),0)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IFERROR(__xludf.DUMMYFUNCTION("IMPORTRANGE(""https://docs.google.com/spreadsheets/d/11923uPwbBZFjjGgGUA6NLw09EwE0CqkOc4q9oUmW1yo/edit?usp=sharing"",""สุโขทัย!J294"")"),0)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IFERROR(__xludf.DUMMYFUNCTION("IMPORTRANGE(""https://docs.google.com/spreadsheets/d/11923uPwbBZFjjGgGUA6NLw09EwE0CqkOc4q9oUmW1yo/edit?usp=sharing"",""สุโขทัย!J295"")"),0)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IFERROR(__xludf.DUMMYFUNCTION("IMPORTRANGE(""https://docs.google.com/spreadsheets/d/11923uPwbBZFjjGgGUA6NLw09EwE0CqkOc4q9oUmW1yo/edit?usp=sharing"",""สุโขทัย!I296"")"),285)</f>
        <v>285</v>
      </c>
      <c r="J401" s="369">
        <f ca="1">IFERROR(__xludf.DUMMYFUNCTION("IMPORTRANGE(""https://docs.google.com/spreadsheets/d/11923uPwbBZFjjGgGUA6NLw09EwE0CqkOc4q9oUmW1yo/edit?usp=sharing"",""สุโขทัย!J296"")"),0)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IFERROR(__xludf.DUMMYFUNCTION("IMPORTRANGE(""https://docs.google.com/spreadsheets/d/11923uPwbBZFjjGgGUA6NLw09EwE0CqkOc4q9oUmW1yo/edit?usp=sharing"",""สุโขทัย!L296"")"),300950)</f>
        <v>300950</v>
      </c>
      <c r="M401" s="371"/>
      <c r="N401" s="371">
        <f ca="1">IFERROR(__xludf.DUMMYFUNCTION("IMPORTRANGE(""https://docs.google.com/spreadsheets/d/11923uPwbBZFjjGgGUA6NLw09EwE0CqkOc4q9oUmW1yo/edit?usp=sharing"",""สุโขทัย!M296"")"),198205)</f>
        <v>198205</v>
      </c>
      <c r="O401" s="371">
        <f ca="1">+IF(L401&gt;0,N401*100/L401,0)</f>
        <v>65.859777371656421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IFERROR(__xludf.DUMMYFUNCTION("IMPORTRANGE(""https://docs.google.com/spreadsheets/d/11923uPwbBZFjjGgGUA6NLw09EwE0CqkOc4q9oUmW1yo/edit?usp=sharing"",""สุโขทัย!I297"")"),95)</f>
        <v>95</v>
      </c>
      <c r="J402" s="369">
        <f ca="1">IFERROR(__xludf.DUMMYFUNCTION("IMPORTRANGE(""https://docs.google.com/spreadsheets/d/11923uPwbBZFjjGgGUA6NLw09EwE0CqkOc4q9oUmW1yo/edit?usp=sharing"",""สุโขทัย!J297"")"),95)</f>
        <v>95</v>
      </c>
      <c r="K402" s="370">
        <f t="shared" ca="1" si="111"/>
        <v>100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IFERROR(__xludf.DUMMYFUNCTION("IMPORTRANGE(""https://docs.google.com/spreadsheets/d/11923uPwbBZFjjGgGUA6NLw09EwE0CqkOc4q9oUmW1yo/edit?usp=sharing"",""สุโขทัย!L298"")"),0)</f>
        <v>0</v>
      </c>
      <c r="M403" s="164"/>
      <c r="N403" s="168">
        <f ca="1">IFERROR(__xludf.DUMMYFUNCTION("IMPORTRANGE(""https://docs.google.com/spreadsheets/d/11923uPwbBZFjjGgGUA6NLw09EwE0CqkOc4q9oUmW1yo/edit?usp=sharing"",""สุโขทัย!M298"")"),0)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IFERROR(__xludf.DUMMYFUNCTION("IMPORTRANGE(""https://docs.google.com/spreadsheets/d/11923uPwbBZFjjGgGUA6NLw09EwE0CqkOc4q9oUmW1yo/edit?usp=sharing"",""สุโขทัย!L299"")"),300950)</f>
        <v>300950</v>
      </c>
      <c r="M404" s="165"/>
      <c r="N404" s="168">
        <f ca="1">IFERROR(__xludf.DUMMYFUNCTION("IMPORTRANGE(""https://docs.google.com/spreadsheets/d/11923uPwbBZFjjGgGUA6NLw09EwE0CqkOc4q9oUmW1yo/edit?usp=sharing"",""สุโขทัย!M299"")"),198205)</f>
        <v>198205</v>
      </c>
      <c r="O404" s="168">
        <f t="shared" ca="1" si="112"/>
        <v>65.859777371656421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IFERROR(__xludf.DUMMYFUNCTION("IMPORTRANGE(""https://docs.google.com/spreadsheets/d/11923uPwbBZFjjGgGUA6NLw09EwE0CqkOc4q9oUmW1yo/edit?usp=sharing"",""สุโขทัย!L300"")"),0)</f>
        <v>0</v>
      </c>
      <c r="M405" s="168"/>
      <c r="N405" s="168">
        <f ca="1">IFERROR(__xludf.DUMMYFUNCTION("IMPORTRANGE(""https://docs.google.com/spreadsheets/d/11923uPwbBZFjjGgGUA6NLw09EwE0CqkOc4q9oUmW1yo/edit?usp=sharing"",""สุโขทัย!M300"")"),0)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IFERROR(__xludf.DUMMYFUNCTION("IMPORTRANGE(""https://docs.google.com/spreadsheets/d/11923uPwbBZFjjGgGUA6NLw09EwE0CqkOc4q9oUmW1yo/edit?usp=sharing"",""สุโขทัย!L301"")"),300950)</f>
        <v>300950</v>
      </c>
      <c r="M406" s="168"/>
      <c r="N406" s="168">
        <f ca="1">IFERROR(__xludf.DUMMYFUNCTION("IMPORTRANGE(""https://docs.google.com/spreadsheets/d/11923uPwbBZFjjGgGUA6NLw09EwE0CqkOc4q9oUmW1yo/edit?usp=sharing"",""สุโขทัย!M301"")"),198205)</f>
        <v>198205</v>
      </c>
      <c r="O406" s="168">
        <f t="shared" ca="1" si="112"/>
        <v>65.859777371656421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IFERROR(__xludf.DUMMYFUNCTION("IMPORTRANGE(""https://docs.google.com/spreadsheets/d/11923uPwbBZFjjGgGUA6NLw09EwE0CqkOc4q9oUmW1yo/edit?usp=sharing"",""สุโขทัย!M302"")"),182845)</f>
        <v>182845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IFERROR(__xludf.DUMMYFUNCTION("IMPORTRANGE(""https://docs.google.com/spreadsheets/d/11923uPwbBZFjjGgGUA6NLw09EwE0CqkOc4q9oUmW1yo/edit?usp=sharing"",""สุโขทัย!M303"")"),0)</f>
        <v>0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IFERROR(__xludf.DUMMYFUNCTION("IMPORTRANGE(""https://docs.google.com/spreadsheets/d/11923uPwbBZFjjGgGUA6NLw09EwE0CqkOc4q9oUmW1yo/edit?usp=sharing"",""สุโขทัย!M304"")"),0)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IFERROR(__xludf.DUMMYFUNCTION("IMPORTRANGE(""https://docs.google.com/spreadsheets/d/11923uPwbBZFjjGgGUA6NLw09EwE0CqkOc4q9oUmW1yo/edit?usp=sharing"",""สุโขทัย!M305"")"),15360)</f>
        <v>15360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IFERROR(__xludf.DUMMYFUNCTION("IMPORTRANGE(""https://docs.google.com/spreadsheets/d/11923uPwbBZFjjGgGUA6NLw09EwE0CqkOc4q9oUmW1yo/edit?usp=sharing"",""สุโขทัย!J307"")"),0)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IFERROR(__xludf.DUMMYFUNCTION("IMPORTRANGE(""https://docs.google.com/spreadsheets/d/11923uPwbBZFjjGgGUA6NLw09EwE0CqkOc4q9oUmW1yo/edit?usp=sharing"",""สุโขทัย!J308"")"),1)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IFERROR(__xludf.DUMMYFUNCTION("IMPORTRANGE(""https://docs.google.com/spreadsheets/d/11923uPwbBZFjjGgGUA6NLw09EwE0CqkOc4q9oUmW1yo/edit?usp=sharing"",""สุโขทัย!J309"")"),1)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IFERROR(__xludf.DUMMYFUNCTION("IMPORTRANGE(""https://docs.google.com/spreadsheets/d/11923uPwbBZFjjGgGUA6NLw09EwE0CqkOc4q9oUmW1yo/edit?usp=sharing"",""สุโขทัย!J310"")"),1)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IFERROR(__xludf.DUMMYFUNCTION("IMPORTRANGE(""https://docs.google.com/spreadsheets/d/11923uPwbBZFjjGgGUA6NLw09EwE0CqkOc4q9oUmW1yo/edit?usp=sharing"",""สุโขทัย!I311"")"),95)</f>
        <v>95</v>
      </c>
      <c r="J416" s="200">
        <f ca="1">IFERROR(__xludf.DUMMYFUNCTION("IMPORTRANGE(""https://docs.google.com/spreadsheets/d/11923uPwbBZFjjGgGUA6NLw09EwE0CqkOc4q9oUmW1yo/edit?usp=sharing"",""สุโขทัย!J311"")"),95)</f>
        <v>95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IFERROR(__xludf.DUMMYFUNCTION("IMPORTRANGE(""https://docs.google.com/spreadsheets/d/11923uPwbBZFjjGgGUA6NLw09EwE0CqkOc4q9oUmW1yo/edit?usp=sharing"",""สุโขทัย!I312"")"),10)</f>
        <v>10</v>
      </c>
      <c r="J417" s="390">
        <f ca="1">IFERROR(__xludf.DUMMYFUNCTION("IMPORTRANGE(""https://docs.google.com/spreadsheets/d/11923uPwbBZFjjGgGUA6NLw09EwE0CqkOc4q9oUmW1yo/edit?usp=sharing"",""สุโขทัย!J312"")"),10)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IFERROR(__xludf.DUMMYFUNCTION("IMPORTRANGE(""https://docs.google.com/spreadsheets/d/11923uPwbBZFjjGgGUA6NLw09EwE0CqkOc4q9oUmW1yo/edit?usp=sharing"",""สุโขทัย!I313"")"),30)</f>
        <v>30</v>
      </c>
      <c r="J418" s="391">
        <f ca="1">IFERROR(__xludf.DUMMYFUNCTION("IMPORTRANGE(""https://docs.google.com/spreadsheets/d/11923uPwbBZFjjGgGUA6NLw09EwE0CqkOc4q9oUmW1yo/edit?usp=sharing"",""สุโขทัย!J313"")"),0)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IFERROR(__xludf.DUMMYFUNCTION("IMPORTRANGE(""https://docs.google.com/spreadsheets/d/11923uPwbBZFjjGgGUA6NLw09EwE0CqkOc4q9oUmW1yo/edit?usp=sharing"",""สุโขทัย!I314"")"),10)</f>
        <v>10</v>
      </c>
      <c r="J419" s="392">
        <f ca="1">IFERROR(__xludf.DUMMYFUNCTION("IMPORTRANGE(""https://docs.google.com/spreadsheets/d/11923uPwbBZFjjGgGUA6NLw09EwE0CqkOc4q9oUmW1yo/edit?usp=sharing"",""สุโขทัย!J314"")"),10)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IFERROR(__xludf.DUMMYFUNCTION("IMPORTRANGE(""https://docs.google.com/spreadsheets/d/11923uPwbBZFjjGgGUA6NLw09EwE0CqkOc4q9oUmW1yo/edit?usp=sharing"",""สุโขทัย!I315"")"),10)</f>
        <v>10</v>
      </c>
      <c r="J420" s="392">
        <f ca="1">IFERROR(__xludf.DUMMYFUNCTION("IMPORTRANGE(""https://docs.google.com/spreadsheets/d/11923uPwbBZFjjGgGUA6NLw09EwE0CqkOc4q9oUmW1yo/edit?usp=sharing"",""สุโขทัย!J315"")"),10)</f>
        <v>10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IFERROR(__xludf.DUMMYFUNCTION("IMPORTRANGE(""https://docs.google.com/spreadsheets/d/11923uPwbBZFjjGgGUA6NLw09EwE0CqkOc4q9oUmW1yo/edit?usp=sharing"",""สุโขทัย!I316"")"),75)</f>
        <v>75</v>
      </c>
      <c r="J421" s="390">
        <f ca="1">IFERROR(__xludf.DUMMYFUNCTION("IMPORTRANGE(""https://docs.google.com/spreadsheets/d/11923uPwbBZFjjGgGUA6NLw09EwE0CqkOc4q9oUmW1yo/edit?usp=sharing"",""สุโขทัย!J316"")"),75)</f>
        <v>75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IFERROR(__xludf.DUMMYFUNCTION("IMPORTRANGE(""https://docs.google.com/spreadsheets/d/11923uPwbBZFjjGgGUA6NLw09EwE0CqkOc4q9oUmW1yo/edit?usp=sharing"",""สุโขทัย!I317"")"),225)</f>
        <v>225</v>
      </c>
      <c r="J422" s="391">
        <f ca="1">IFERROR(__xludf.DUMMYFUNCTION("IMPORTRANGE(""https://docs.google.com/spreadsheets/d/11923uPwbBZFjjGgGUA6NLw09EwE0CqkOc4q9oUmW1yo/edit?usp=sharing"",""สุโขทัย!J317"")"),0)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IFERROR(__xludf.DUMMYFUNCTION("IMPORTRANGE(""https://docs.google.com/spreadsheets/d/11923uPwbBZFjjGgGUA6NLw09EwE0CqkOc4q9oUmW1yo/edit?usp=sharing"",""สุโขทัย!I318"")"),75)</f>
        <v>75</v>
      </c>
      <c r="J423" s="392">
        <f ca="1">IFERROR(__xludf.DUMMYFUNCTION("IMPORTRANGE(""https://docs.google.com/spreadsheets/d/11923uPwbBZFjjGgGUA6NLw09EwE0CqkOc4q9oUmW1yo/edit?usp=sharing"",""สุโขทัย!J318"")"),75)</f>
        <v>75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IFERROR(__xludf.DUMMYFUNCTION("IMPORTRANGE(""https://docs.google.com/spreadsheets/d/11923uPwbBZFjjGgGUA6NLw09EwE0CqkOc4q9oUmW1yo/edit?usp=sharing"",""สุโขทัย!I319"")"),75)</f>
        <v>75</v>
      </c>
      <c r="J424" s="392">
        <f ca="1">IFERROR(__xludf.DUMMYFUNCTION("IMPORTRANGE(""https://docs.google.com/spreadsheets/d/11923uPwbBZFjjGgGUA6NLw09EwE0CqkOc4q9oUmW1yo/edit?usp=sharing"",""สุโขทัย!J319"")"),75)</f>
        <v>75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IFERROR(__xludf.DUMMYFUNCTION("IMPORTRANGE(""https://docs.google.com/spreadsheets/d/11923uPwbBZFjjGgGUA6NLw09EwE0CqkOc4q9oUmW1yo/edit?usp=sharing"",""สุโขทัย!I320"")"),75)</f>
        <v>75</v>
      </c>
      <c r="J425" s="392">
        <f ca="1">IFERROR(__xludf.DUMMYFUNCTION("IMPORTRANGE(""https://docs.google.com/spreadsheets/d/11923uPwbBZFjjGgGUA6NLw09EwE0CqkOc4q9oUmW1yo/edit?usp=sharing"",""สุโขทัย!J320"")"),75)</f>
        <v>75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IFERROR(__xludf.DUMMYFUNCTION("IMPORTRANGE(""https://docs.google.com/spreadsheets/d/11923uPwbBZFjjGgGUA6NLw09EwE0CqkOc4q9oUmW1yo/edit?usp=sharing"",""สุโขทัย!I321"")"),10)</f>
        <v>10</v>
      </c>
      <c r="J426" s="390">
        <f ca="1">IFERROR(__xludf.DUMMYFUNCTION("IMPORTRANGE(""https://docs.google.com/spreadsheets/d/11923uPwbBZFjjGgGUA6NLw09EwE0CqkOc4q9oUmW1yo/edit?usp=sharing"",""สุโขทัย!J321"")"),10)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IFERROR(__xludf.DUMMYFUNCTION("IMPORTRANGE(""https://docs.google.com/spreadsheets/d/11923uPwbBZFjjGgGUA6NLw09EwE0CqkOc4q9oUmW1yo/edit?usp=sharing"",""สุโขทัย!I322"")"),30)</f>
        <v>30</v>
      </c>
      <c r="J427" s="391">
        <f ca="1">IFERROR(__xludf.DUMMYFUNCTION("IMPORTRANGE(""https://docs.google.com/spreadsheets/d/11923uPwbBZFjjGgGUA6NLw09EwE0CqkOc4q9oUmW1yo/edit?usp=sharing"",""สุโขทัย!J322"")"),0)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IFERROR(__xludf.DUMMYFUNCTION("IMPORTRANGE(""https://docs.google.com/spreadsheets/d/11923uPwbBZFjjGgGUA6NLw09EwE0CqkOc4q9oUmW1yo/edit?usp=sharing"",""สุโขทัย!I323"")"),10)</f>
        <v>10</v>
      </c>
      <c r="J428" s="392">
        <f ca="1">IFERROR(__xludf.DUMMYFUNCTION("IMPORTRANGE(""https://docs.google.com/spreadsheets/d/11923uPwbBZFjjGgGUA6NLw09EwE0CqkOc4q9oUmW1yo/edit?usp=sharing"",""สุโขทัย!J323"")"),10)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IFERROR(__xludf.DUMMYFUNCTION("IMPORTRANGE(""https://docs.google.com/spreadsheets/d/11923uPwbBZFjjGgGUA6NLw09EwE0CqkOc4q9oUmW1yo/edit?usp=sharing"",""สุโขทัย!I324"")"),10)</f>
        <v>10</v>
      </c>
      <c r="J429" s="392">
        <f ca="1">IFERROR(__xludf.DUMMYFUNCTION("IMPORTRANGE(""https://docs.google.com/spreadsheets/d/11923uPwbBZFjjGgGUA6NLw09EwE0CqkOc4q9oUmW1yo/edit?usp=sharing"",""สุโขทัย!J324"")"),10)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IFERROR(__xludf.DUMMYFUNCTION("IMPORTRANGE(""https://docs.google.com/spreadsheets/d/11923uPwbBZFjjGgGUA6NLw09EwE0CqkOc4q9oUmW1yo/edit?usp=sharing"",""สุโขทัย!I325"")"),85)</f>
        <v>85</v>
      </c>
      <c r="J430" s="390">
        <f ca="1">IFERROR(__xludf.DUMMYFUNCTION("IMPORTRANGE(""https://docs.google.com/spreadsheets/d/11923uPwbBZFjjGgGUA6NLw09EwE0CqkOc4q9oUmW1yo/edit?usp=sharing"",""สุโขทัย!J325"")"),0)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IFERROR(__xludf.DUMMYFUNCTION("IMPORTRANGE(""https://docs.google.com/spreadsheets/d/11923uPwbBZFjjGgGUA6NLw09EwE0CqkOc4q9oUmW1yo/edit?usp=sharing"",""สุโขทัย!I326"")"),10)</f>
        <v>10</v>
      </c>
      <c r="J431" s="392">
        <f ca="1">IFERROR(__xludf.DUMMYFUNCTION("IMPORTRANGE(""https://docs.google.com/spreadsheets/d/11923uPwbBZFjjGgGUA6NLw09EwE0CqkOc4q9oUmW1yo/edit?usp=sharing"",""สุโขทัย!J326"")"),0)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IFERROR(__xludf.DUMMYFUNCTION("IMPORTRANGE(""https://docs.google.com/spreadsheets/d/11923uPwbBZFjjGgGUA6NLw09EwE0CqkOc4q9oUmW1yo/edit?usp=sharing"",""สุโขทัย!I327"")"),75)</f>
        <v>75</v>
      </c>
      <c r="J432" s="392">
        <f ca="1">IFERROR(__xludf.DUMMYFUNCTION("IMPORTRANGE(""https://docs.google.com/spreadsheets/d/11923uPwbBZFjjGgGUA6NLw09EwE0CqkOc4q9oUmW1yo/edit?usp=sharing"",""สุโขทัย!J327"")"),50)</f>
        <v>50</v>
      </c>
      <c r="K432" s="163">
        <f t="shared" ca="1" si="113"/>
        <v>66.666666666666671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IFERROR(__xludf.DUMMYFUNCTION("IMPORTRANGE(""https://docs.google.com/spreadsheets/d/11923uPwbBZFjjGgGUA6NLw09EwE0CqkOc4q9oUmW1yo/edit?usp=sharing"",""สุโขทัย!J328"")"),0)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IFERROR(__xludf.DUMMYFUNCTION("IMPORTRANGE(""https://docs.google.com/spreadsheets/d/11923uPwbBZFjjGgGUA6NLw09EwE0CqkOc4q9oUmW1yo/edit?usp=sharing"",""สุโขทัย!J329"")"),0)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IFERROR(__xludf.DUMMYFUNCTION("IMPORTRANGE(""https://docs.google.com/spreadsheets/d/11923uPwbBZFjjGgGUA6NLw09EwE0CqkOc4q9oUmW1yo/edit?usp=sharing"",""สุโขทัย!I330"")"),81)</f>
        <v>81</v>
      </c>
      <c r="J435" s="408">
        <f ca="1">IFERROR(__xludf.DUMMYFUNCTION("IMPORTRANGE(""https://docs.google.com/spreadsheets/d/11923uPwbBZFjjGgGUA6NLw09EwE0CqkOc4q9oUmW1yo/edit?usp=sharing"",""สุโขทัย!J330"")"),41)</f>
        <v>41</v>
      </c>
      <c r="K435" s="409">
        <f ca="1">IF(I435&gt;0,J435*100/I435,0)</f>
        <v>50.617283950617285</v>
      </c>
      <c r="L435" s="410">
        <f ca="1">IFERROR(__xludf.DUMMYFUNCTION("IMPORTRANGE(""https://docs.google.com/spreadsheets/d/11923uPwbBZFjjGgGUA6NLw09EwE0CqkOc4q9oUmW1yo/edit?usp=sharing"",""สุโขทัย!L330"")"),223000)</f>
        <v>223000</v>
      </c>
      <c r="M435" s="410"/>
      <c r="N435" s="410">
        <f ca="1">IFERROR(__xludf.DUMMYFUNCTION("IMPORTRANGE(""https://docs.google.com/spreadsheets/d/11923uPwbBZFjjGgGUA6NLw09EwE0CqkOc4q9oUmW1yo/edit?usp=sharing"",""สุโขทัย!M330"")"),102580)</f>
        <v>102580</v>
      </c>
      <c r="O435" s="410">
        <f t="shared" ref="O435:O439" ca="1" si="114">+IF(L435&gt;0,N435*100/L435,0)</f>
        <v>46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IFERROR(__xludf.DUMMYFUNCTION("IMPORTRANGE(""https://docs.google.com/spreadsheets/d/11923uPwbBZFjjGgGUA6NLw09EwE0CqkOc4q9oUmW1yo/edit?usp=sharing"",""สุโขทัย!L331"")"),0)</f>
        <v>0</v>
      </c>
      <c r="M436" s="164"/>
      <c r="N436" s="168">
        <f ca="1">IFERROR(__xludf.DUMMYFUNCTION("IMPORTRANGE(""https://docs.google.com/spreadsheets/d/11923uPwbBZFjjGgGUA6NLw09EwE0CqkOc4q9oUmW1yo/edit?usp=sharing"",""สุโขทัย!M331"")"),0)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IFERROR(__xludf.DUMMYFUNCTION("IMPORTRANGE(""https://docs.google.com/spreadsheets/d/11923uPwbBZFjjGgGUA6NLw09EwE0CqkOc4q9oUmW1yo/edit?usp=sharing"",""สุโขทัย!L332"")"),223000)</f>
        <v>223000</v>
      </c>
      <c r="M437" s="165"/>
      <c r="N437" s="168">
        <f ca="1">IFERROR(__xludf.DUMMYFUNCTION("IMPORTRANGE(""https://docs.google.com/spreadsheets/d/11923uPwbBZFjjGgGUA6NLw09EwE0CqkOc4q9oUmW1yo/edit?usp=sharing"",""สุโขทัย!M332"")"),102580)</f>
        <v>102580</v>
      </c>
      <c r="O437" s="168">
        <f t="shared" ca="1" si="114"/>
        <v>46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IFERROR(__xludf.DUMMYFUNCTION("IMPORTRANGE(""https://docs.google.com/spreadsheets/d/11923uPwbBZFjjGgGUA6NLw09EwE0CqkOc4q9oUmW1yo/edit?usp=sharing"",""สุโขทัย!L333"")"),0)</f>
        <v>0</v>
      </c>
      <c r="M438" s="168"/>
      <c r="N438" s="168">
        <f ca="1">IFERROR(__xludf.DUMMYFUNCTION("IMPORTRANGE(""https://docs.google.com/spreadsheets/d/11923uPwbBZFjjGgGUA6NLw09EwE0CqkOc4q9oUmW1yo/edit?usp=sharing"",""สุโขทัย!M333"")"),0)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IFERROR(__xludf.DUMMYFUNCTION("IMPORTRANGE(""https://docs.google.com/spreadsheets/d/11923uPwbBZFjjGgGUA6NLw09EwE0CqkOc4q9oUmW1yo/edit?usp=sharing"",""สุโขทัย!L334"")"),223000)</f>
        <v>223000</v>
      </c>
      <c r="M439" s="168"/>
      <c r="N439" s="168">
        <f ca="1">IFERROR(__xludf.DUMMYFUNCTION("IMPORTRANGE(""https://docs.google.com/spreadsheets/d/11923uPwbBZFjjGgGUA6NLw09EwE0CqkOc4q9oUmW1yo/edit?usp=sharing"",""สุโขทัย!M334"")"),102580)</f>
        <v>102580</v>
      </c>
      <c r="O439" s="168">
        <f t="shared" ca="1" si="114"/>
        <v>46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IFERROR(__xludf.DUMMYFUNCTION("IMPORTRANGE(""https://docs.google.com/spreadsheets/d/11923uPwbBZFjjGgGUA6NLw09EwE0CqkOc4q9oUmW1yo/edit?usp=sharing"",""สุโขทัย!M335"")"),97930)</f>
        <v>97930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IFERROR(__xludf.DUMMYFUNCTION("IMPORTRANGE(""https://docs.google.com/spreadsheets/d/11923uPwbBZFjjGgGUA6NLw09EwE0CqkOc4q9oUmW1yo/edit?usp=sharing"",""สุโขทัย!M336"")"),0)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IFERROR(__xludf.DUMMYFUNCTION("IMPORTRANGE(""https://docs.google.com/spreadsheets/d/11923uPwbBZFjjGgGUA6NLw09EwE0CqkOc4q9oUmW1yo/edit?usp=sharing"",""สุโขทัย!M337"")"),0)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IFERROR(__xludf.DUMMYFUNCTION("IMPORTRANGE(""https://docs.google.com/spreadsheets/d/11923uPwbBZFjjGgGUA6NLw09EwE0CqkOc4q9oUmW1yo/edit?usp=sharing"",""สุโขทัย!M338"")"),4650)</f>
        <v>4650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IFERROR(__xludf.DUMMYFUNCTION("IMPORTRANGE(""https://docs.google.com/spreadsheets/d/11923uPwbBZFjjGgGUA6NLw09EwE0CqkOc4q9oUmW1yo/edit?usp=sharing"",""สุโขทัย!J340"")"),0)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IFERROR(__xludf.DUMMYFUNCTION("IMPORTRANGE(""https://docs.google.com/spreadsheets/d/11923uPwbBZFjjGgGUA6NLw09EwE0CqkOc4q9oUmW1yo/edit?usp=sharing"",""สุโขทัย!J341"")"),1)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IFERROR(__xludf.DUMMYFUNCTION("IMPORTRANGE(""https://docs.google.com/spreadsheets/d/11923uPwbBZFjjGgGUA6NLw09EwE0CqkOc4q9oUmW1yo/edit?usp=sharing"",""สุโขทัย!J342"")"),1)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IFERROR(__xludf.DUMMYFUNCTION("IMPORTRANGE(""https://docs.google.com/spreadsheets/d/11923uPwbBZFjjGgGUA6NLw09EwE0CqkOc4q9oUmW1yo/edit?usp=sharing"",""สุโขทัย!J343"")"),1)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IFERROR(__xludf.DUMMYFUNCTION("IMPORTRANGE(""https://docs.google.com/spreadsheets/d/11923uPwbBZFjjGgGUA6NLw09EwE0CqkOc4q9oUmW1yo/edit?usp=sharing"",""สุโขทัย!I344"")"),81)</f>
        <v>81</v>
      </c>
      <c r="J449" s="200">
        <f ca="1">IFERROR(__xludf.DUMMYFUNCTION("IMPORTRANGE(""https://docs.google.com/spreadsheets/d/11923uPwbBZFjjGgGUA6NLw09EwE0CqkOc4q9oUmW1yo/edit?usp=sharing"",""สุโขทัย!J344"")"),41)</f>
        <v>41</v>
      </c>
      <c r="K449" s="163">
        <f t="shared" ref="K449:K452" ca="1" si="115">IF(I449&gt;0,J449*100/I449,0)</f>
        <v>50.617283950617285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IFERROR(__xludf.DUMMYFUNCTION("IMPORTRANGE(""https://docs.google.com/spreadsheets/d/11923uPwbBZFjjGgGUA6NLw09EwE0CqkOc4q9oUmW1yo/edit?usp=sharing"",""สุโขทัย!I345"")"),22)</f>
        <v>22</v>
      </c>
      <c r="J450" s="188">
        <f ca="1">IFERROR(__xludf.DUMMYFUNCTION("IMPORTRANGE(""https://docs.google.com/spreadsheets/d/11923uPwbBZFjjGgGUA6NLw09EwE0CqkOc4q9oUmW1yo/edit?usp=sharing"",""สุโขทัย!J345"")"),22)</f>
        <v>22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IFERROR(__xludf.DUMMYFUNCTION("IMPORTRANGE(""https://docs.google.com/spreadsheets/d/11923uPwbBZFjjGgGUA6NLw09EwE0CqkOc4q9oUmW1yo/edit?usp=sharing"",""สุโขทัย!I346"")"),59)</f>
        <v>59</v>
      </c>
      <c r="J451" s="187">
        <f ca="1">IFERROR(__xludf.DUMMYFUNCTION("IMPORTRANGE(""https://docs.google.com/spreadsheets/d/11923uPwbBZFjjGgGUA6NLw09EwE0CqkOc4q9oUmW1yo/edit?usp=sharing"",""สุโขทัย!J346"")"),19)</f>
        <v>19</v>
      </c>
      <c r="K451" s="163">
        <f t="shared" ca="1" si="115"/>
        <v>32.203389830508478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IFERROR(__xludf.DUMMYFUNCTION("IMPORTRANGE(""https://docs.google.com/spreadsheets/d/11923uPwbBZFjjGgGUA6NLw09EwE0CqkOc4q9oUmW1yo/edit?usp=sharing"",""สุโขทัย!I347"")"),0)</f>
        <v>0</v>
      </c>
      <c r="J452" s="187">
        <f ca="1">IFERROR(__xludf.DUMMYFUNCTION("IMPORTRANGE(""https://docs.google.com/spreadsheets/d/11923uPwbBZFjjGgGUA6NLw09EwE0CqkOc4q9oUmW1yo/edit?usp=sharing"",""สุโขทัย!J347"")"),0)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IFERROR(__xludf.DUMMYFUNCTION("IMPORTRANGE(""https://docs.google.com/spreadsheets/d/11923uPwbBZFjjGgGUA6NLw09EwE0CqkOc4q9oUmW1yo/edit?usp=sharing"",""สุโขทัย!J348"")"),0)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IFERROR(__xludf.DUMMYFUNCTION("IMPORTRANGE(""https://docs.google.com/spreadsheets/d/11923uPwbBZFjjGgGUA6NLw09EwE0CqkOc4q9oUmW1yo/edit?usp=sharing"",""สุโขทัย!J349"")"),0)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IFERROR(__xludf.DUMMYFUNCTION("IMPORTRANGE(""https://docs.google.com/spreadsheets/d/11923uPwbBZFjjGgGUA6NLw09EwE0CqkOc4q9oUmW1yo/edit?usp=sharing"",""สุโขทัย!I350"")"),35801)</f>
        <v>35801</v>
      </c>
      <c r="J455" s="369">
        <f ca="1">IFERROR(__xludf.DUMMYFUNCTION("IMPORTRANGE(""https://docs.google.com/spreadsheets/d/11923uPwbBZFjjGgGUA6NLw09EwE0CqkOc4q9oUmW1yo/edit?usp=sharing"",""สุโขทัย!J350"")"),0)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IFERROR(__xludf.DUMMYFUNCTION("IMPORTRANGE(""https://docs.google.com/spreadsheets/d/11923uPwbBZFjjGgGUA6NLw09EwE0CqkOc4q9oUmW1yo/edit?usp=sharing"",""สุโขทัย!L350"")"),382323)</f>
        <v>382323</v>
      </c>
      <c r="M455" s="371"/>
      <c r="N455" s="371">
        <f ca="1">IFERROR(__xludf.DUMMYFUNCTION("IMPORTRANGE(""https://docs.google.com/spreadsheets/d/11923uPwbBZFjjGgGUA6NLw09EwE0CqkOc4q9oUmW1yo/edit?usp=sharing"",""สุโขทัย!M350"")"),58385)</f>
        <v>58385</v>
      </c>
      <c r="O455" s="371">
        <f t="shared" ref="O455:O459" ca="1" si="116">+IF(L455&gt;0,N455*100/L455,0)</f>
        <v>15.271118923004893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IFERROR(__xludf.DUMMYFUNCTION("IMPORTRANGE(""https://docs.google.com/spreadsheets/d/11923uPwbBZFjjGgGUA6NLw09EwE0CqkOc4q9oUmW1yo/edit?usp=sharing"",""สุโขทัย!L351"")"),0)</f>
        <v>0</v>
      </c>
      <c r="M456" s="164"/>
      <c r="N456" s="168">
        <f ca="1">IFERROR(__xludf.DUMMYFUNCTION("IMPORTRANGE(""https://docs.google.com/spreadsheets/d/11923uPwbBZFjjGgGUA6NLw09EwE0CqkOc4q9oUmW1yo/edit?usp=sharing"",""สุโขทัย!M351"")"),0)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IFERROR(__xludf.DUMMYFUNCTION("IMPORTRANGE(""https://docs.google.com/spreadsheets/d/11923uPwbBZFjjGgGUA6NLw09EwE0CqkOc4q9oUmW1yo/edit?usp=sharing"",""สุโขทัย!L352"")"),382323)</f>
        <v>382323</v>
      </c>
      <c r="M457" s="165"/>
      <c r="N457" s="168">
        <f ca="1">IFERROR(__xludf.DUMMYFUNCTION("IMPORTRANGE(""https://docs.google.com/spreadsheets/d/11923uPwbBZFjjGgGUA6NLw09EwE0CqkOc4q9oUmW1yo/edit?usp=sharing"",""สุโขทัย!M352"")"),58385)</f>
        <v>58385</v>
      </c>
      <c r="O457" s="168">
        <f t="shared" ca="1" si="116"/>
        <v>15.271118923004893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IFERROR(__xludf.DUMMYFUNCTION("IMPORTRANGE(""https://docs.google.com/spreadsheets/d/11923uPwbBZFjjGgGUA6NLw09EwE0CqkOc4q9oUmW1yo/edit?usp=sharing"",""สุโขทัย!L353"")"),0)</f>
        <v>0</v>
      </c>
      <c r="M458" s="168"/>
      <c r="N458" s="168">
        <f ca="1">IFERROR(__xludf.DUMMYFUNCTION("IMPORTRANGE(""https://docs.google.com/spreadsheets/d/11923uPwbBZFjjGgGUA6NLw09EwE0CqkOc4q9oUmW1yo/edit?usp=sharing"",""สุโขทัย!M353"")"),0)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IFERROR(__xludf.DUMMYFUNCTION("IMPORTRANGE(""https://docs.google.com/spreadsheets/d/11923uPwbBZFjjGgGUA6NLw09EwE0CqkOc4q9oUmW1yo/edit?usp=sharing"",""สุโขทัย!L354"")"),382323)</f>
        <v>382323</v>
      </c>
      <c r="M459" s="168"/>
      <c r="N459" s="168">
        <f ca="1">IFERROR(__xludf.DUMMYFUNCTION("IMPORTRANGE(""https://docs.google.com/spreadsheets/d/11923uPwbBZFjjGgGUA6NLw09EwE0CqkOc4q9oUmW1yo/edit?usp=sharing"",""สุโขทัย!M354"")"),58385)</f>
        <v>58385</v>
      </c>
      <c r="O459" s="168">
        <f t="shared" ca="1" si="116"/>
        <v>15.271118923004893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IFERROR(__xludf.DUMMYFUNCTION("IMPORTRANGE(""https://docs.google.com/spreadsheets/d/11923uPwbBZFjjGgGUA6NLw09EwE0CqkOc4q9oUmW1yo/edit?usp=sharing"",""สุโขทัย!M355"")"),0)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IFERROR(__xludf.DUMMYFUNCTION("IMPORTRANGE(""https://docs.google.com/spreadsheets/d/11923uPwbBZFjjGgGUA6NLw09EwE0CqkOc4q9oUmW1yo/edit?usp=sharing"",""สุโขทัย!M356"")"),0)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IFERROR(__xludf.DUMMYFUNCTION("IMPORTRANGE(""https://docs.google.com/spreadsheets/d/11923uPwbBZFjjGgGUA6NLw09EwE0CqkOc4q9oUmW1yo/edit?usp=sharing"",""สุโขทัย!M357"")"),33000)</f>
        <v>33000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IFERROR(__xludf.DUMMYFUNCTION("IMPORTRANGE(""https://docs.google.com/spreadsheets/d/11923uPwbBZFjjGgGUA6NLw09EwE0CqkOc4q9oUmW1yo/edit?usp=sharing"",""สุโขทัย!M358"")"),25385)</f>
        <v>25385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IFERROR(__xludf.DUMMYFUNCTION("IMPORTRANGE(""https://docs.google.com/spreadsheets/d/11923uPwbBZFjjGgGUA6NLw09EwE0CqkOc4q9oUmW1yo/edit?usp=sharing"",""สุโขทัย!I359"")"),35801)</f>
        <v>35801</v>
      </c>
      <c r="J464" s="266">
        <f ca="1">IFERROR(__xludf.DUMMYFUNCTION("IMPORTRANGE(""https://docs.google.com/spreadsheets/d/11923uPwbBZFjjGgGUA6NLw09EwE0CqkOc4q9oUmW1yo/edit?usp=sharing"",""สุโขทัย!J359"")"),0)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IFERROR(__xludf.DUMMYFUNCTION("IMPORTRANGE(""https://docs.google.com/spreadsheets/d/11923uPwbBZFjjGgGUA6NLw09EwE0CqkOc4q9oUmW1yo/edit?usp=sharing"",""สุโขทัย!I360"")"),35801)</f>
        <v>35801</v>
      </c>
      <c r="J465" s="418">
        <f ca="1">IFERROR(__xludf.DUMMYFUNCTION("IMPORTRANGE(""https://docs.google.com/spreadsheets/d/11923uPwbBZFjjGgGUA6NLw09EwE0CqkOc4q9oUmW1yo/edit?usp=sharing"",""สุโขทัย!J360"")"),34689)</f>
        <v>34689</v>
      </c>
      <c r="K465" s="201">
        <f t="shared" ca="1" si="117"/>
        <v>96.89394151001369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IFERROR(__xludf.DUMMYFUNCTION("IMPORTRANGE(""https://docs.google.com/spreadsheets/d/11923uPwbBZFjjGgGUA6NLw09EwE0CqkOc4q9oUmW1yo/edit?usp=sharing"",""สุโขทัย!I361"")"),4578)</f>
        <v>4578</v>
      </c>
      <c r="J466" s="418">
        <f ca="1">IFERROR(__xludf.DUMMYFUNCTION("IMPORTRANGE(""https://docs.google.com/spreadsheets/d/11923uPwbBZFjjGgGUA6NLw09EwE0CqkOc4q9oUmW1yo/edit?usp=sharing"",""สุโขทัย!J361"")"),4217)</f>
        <v>4217</v>
      </c>
      <c r="K466" s="201">
        <f t="shared" ca="1" si="117"/>
        <v>92.114460463084313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IFERROR(__xludf.DUMMYFUNCTION("IMPORTRANGE(""https://docs.google.com/spreadsheets/d/11923uPwbBZFjjGgGUA6NLw09EwE0CqkOc4q9oUmW1yo/edit?usp=sharing"",""สุโขทัย!I362"")"),0)</f>
        <v>0</v>
      </c>
      <c r="J467" s="188">
        <f ca="1">IFERROR(__xludf.DUMMYFUNCTION("IMPORTRANGE(""https://docs.google.com/spreadsheets/d/11923uPwbBZFjjGgGUA6NLw09EwE0CqkOc4q9oUmW1yo/edit?usp=sharing"",""สุโขทัย!J362"")"),22829)</f>
        <v>22829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IFERROR(__xludf.DUMMYFUNCTION("IMPORTRANGE(""https://docs.google.com/spreadsheets/d/11923uPwbBZFjjGgGUA6NLw09EwE0CqkOc4q9oUmW1yo/edit?usp=sharing"",""สุโขทัย!I363"")"),0)</f>
        <v>0</v>
      </c>
      <c r="J468" s="188">
        <f ca="1">IFERROR(__xludf.DUMMYFUNCTION("IMPORTRANGE(""https://docs.google.com/spreadsheets/d/11923uPwbBZFjjGgGUA6NLw09EwE0CqkOc4q9oUmW1yo/edit?usp=sharing"",""สุโขทัย!J363"")"),2587)</f>
        <v>2587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IFERROR(__xludf.DUMMYFUNCTION("IMPORTRANGE(""https://docs.google.com/spreadsheets/d/11923uPwbBZFjjGgGUA6NLw09EwE0CqkOc4q9oUmW1yo/edit?usp=sharing"",""สุโขทัย!I364"")"),0)</f>
        <v>0</v>
      </c>
      <c r="J469" s="188">
        <f ca="1">IFERROR(__xludf.DUMMYFUNCTION("IMPORTRANGE(""https://docs.google.com/spreadsheets/d/11923uPwbBZFjjGgGUA6NLw09EwE0CqkOc4q9oUmW1yo/edit?usp=sharing"",""สุโขทัย!J364"")"),11125)</f>
        <v>11125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IFERROR(__xludf.DUMMYFUNCTION("IMPORTRANGE(""https://docs.google.com/spreadsheets/d/11923uPwbBZFjjGgGUA6NLw09EwE0CqkOc4q9oUmW1yo/edit?usp=sharing"",""สุโขทัย!I365"")"),0)</f>
        <v>0</v>
      </c>
      <c r="J470" s="188">
        <f ca="1">IFERROR(__xludf.DUMMYFUNCTION("IMPORTRANGE(""https://docs.google.com/spreadsheets/d/11923uPwbBZFjjGgGUA6NLw09EwE0CqkOc4q9oUmW1yo/edit?usp=sharing"",""สุโขทัย!J365"")"),1551)</f>
        <v>1551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IFERROR(__xludf.DUMMYFUNCTION("IMPORTRANGE(""https://docs.google.com/spreadsheets/d/11923uPwbBZFjjGgGUA6NLw09EwE0CqkOc4q9oUmW1yo/edit?usp=sharing"",""สุโขทัย!I366"")"),0)</f>
        <v>0</v>
      </c>
      <c r="J471" s="188">
        <f ca="1">IFERROR(__xludf.DUMMYFUNCTION("IMPORTRANGE(""https://docs.google.com/spreadsheets/d/11923uPwbBZFjjGgGUA6NLw09EwE0CqkOc4q9oUmW1yo/edit?usp=sharing"",""สุโขทัย!J366"")"),735)</f>
        <v>735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IFERROR(__xludf.DUMMYFUNCTION("IMPORTRANGE(""https://docs.google.com/spreadsheets/d/11923uPwbBZFjjGgGUA6NLw09EwE0CqkOc4q9oUmW1yo/edit?usp=sharing"",""สุโขทัย!I367"")"),0)</f>
        <v>0</v>
      </c>
      <c r="J472" s="188">
        <f ca="1">IFERROR(__xludf.DUMMYFUNCTION("IMPORTRANGE(""https://docs.google.com/spreadsheets/d/11923uPwbBZFjjGgGUA6NLw09EwE0CqkOc4q9oUmW1yo/edit?usp=sharing"",""สุโขทัย!J367"")"),79)</f>
        <v>79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IFERROR(__xludf.DUMMYFUNCTION("IMPORTRANGE(""https://docs.google.com/spreadsheets/d/11923uPwbBZFjjGgGUA6NLw09EwE0CqkOc4q9oUmW1yo/edit?usp=sharing"",""สุโขทัย!I368"")"),35801)</f>
        <v>35801</v>
      </c>
      <c r="J473" s="418">
        <f ca="1">IFERROR(__xludf.DUMMYFUNCTION("IMPORTRANGE(""https://docs.google.com/spreadsheets/d/11923uPwbBZFjjGgGUA6NLw09EwE0CqkOc4q9oUmW1yo/edit?usp=sharing"",""สุโขทัย!J368"")"),0)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IFERROR(__xludf.DUMMYFUNCTION("IMPORTRANGE(""https://docs.google.com/spreadsheets/d/11923uPwbBZFjjGgGUA6NLw09EwE0CqkOc4q9oUmW1yo/edit?usp=sharing"",""สุโขทัย!I369"")"),4578)</f>
        <v>4578</v>
      </c>
      <c r="J474" s="418">
        <f ca="1">IFERROR(__xludf.DUMMYFUNCTION("IMPORTRANGE(""https://docs.google.com/spreadsheets/d/11923uPwbBZFjjGgGUA6NLw09EwE0CqkOc4q9oUmW1yo/edit?usp=sharing"",""สุโขทัย!J369"")"),0)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IFERROR(__xludf.DUMMYFUNCTION("IMPORTRANGE(""https://docs.google.com/spreadsheets/d/11923uPwbBZFjjGgGUA6NLw09EwE0CqkOc4q9oUmW1yo/edit?usp=sharing"",""สุโขทัย!I370"")"),0)</f>
        <v>0</v>
      </c>
      <c r="J475" s="188">
        <f ca="1">IFERROR(__xludf.DUMMYFUNCTION("IMPORTRANGE(""https://docs.google.com/spreadsheets/d/11923uPwbBZFjjGgGUA6NLw09EwE0CqkOc4q9oUmW1yo/edit?usp=sharing"",""สุโขทัย!J370"")"),0)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IFERROR(__xludf.DUMMYFUNCTION("IMPORTRANGE(""https://docs.google.com/spreadsheets/d/11923uPwbBZFjjGgGUA6NLw09EwE0CqkOc4q9oUmW1yo/edit?usp=sharing"",""สุโขทัย!I371"")"),0)</f>
        <v>0</v>
      </c>
      <c r="J476" s="188">
        <f ca="1">IFERROR(__xludf.DUMMYFUNCTION("IMPORTRANGE(""https://docs.google.com/spreadsheets/d/11923uPwbBZFjjGgGUA6NLw09EwE0CqkOc4q9oUmW1yo/edit?usp=sharing"",""สุโขทัย!J371"")"),0)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IFERROR(__xludf.DUMMYFUNCTION("IMPORTRANGE(""https://docs.google.com/spreadsheets/d/11923uPwbBZFjjGgGUA6NLw09EwE0CqkOc4q9oUmW1yo/edit?usp=sharing"",""สุโขทัย!I372"")"),0)</f>
        <v>0</v>
      </c>
      <c r="J477" s="188">
        <f ca="1">IFERROR(__xludf.DUMMYFUNCTION("IMPORTRANGE(""https://docs.google.com/spreadsheets/d/11923uPwbBZFjjGgGUA6NLw09EwE0CqkOc4q9oUmW1yo/edit?usp=sharing"",""สุโขทัย!J372"")"),0)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IFERROR(__xludf.DUMMYFUNCTION("IMPORTRANGE(""https://docs.google.com/spreadsheets/d/11923uPwbBZFjjGgGUA6NLw09EwE0CqkOc4q9oUmW1yo/edit?usp=sharing"",""สุโขทัย!I373"")"),0)</f>
        <v>0</v>
      </c>
      <c r="J478" s="188">
        <f ca="1">IFERROR(__xludf.DUMMYFUNCTION("IMPORTRANGE(""https://docs.google.com/spreadsheets/d/11923uPwbBZFjjGgGUA6NLw09EwE0CqkOc4q9oUmW1yo/edit?usp=sharing"",""สุโขทัย!J373"")"),0)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IFERROR(__xludf.DUMMYFUNCTION("IMPORTRANGE(""https://docs.google.com/spreadsheets/d/11923uPwbBZFjjGgGUA6NLw09EwE0CqkOc4q9oUmW1yo/edit?usp=sharing"",""สุโขทัย!I374"")"),0)</f>
        <v>0</v>
      </c>
      <c r="J479" s="188">
        <f ca="1">IFERROR(__xludf.DUMMYFUNCTION("IMPORTRANGE(""https://docs.google.com/spreadsheets/d/11923uPwbBZFjjGgGUA6NLw09EwE0CqkOc4q9oUmW1yo/edit?usp=sharing"",""สุโขทัย!J374"")"),0)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IFERROR(__xludf.DUMMYFUNCTION("IMPORTRANGE(""https://docs.google.com/spreadsheets/d/11923uPwbBZFjjGgGUA6NLw09EwE0CqkOc4q9oUmW1yo/edit?usp=sharing"",""สุโขทัย!I375"")"),0)</f>
        <v>0</v>
      </c>
      <c r="J480" s="188">
        <f ca="1">IFERROR(__xludf.DUMMYFUNCTION("IMPORTRANGE(""https://docs.google.com/spreadsheets/d/11923uPwbBZFjjGgGUA6NLw09EwE0CqkOc4q9oUmW1yo/edit?usp=sharing"",""สุโขทัย!J375"")"),0)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IFERROR(__xludf.DUMMYFUNCTION("IMPORTRANGE(""https://docs.google.com/spreadsheets/d/11923uPwbBZFjjGgGUA6NLw09EwE0CqkOc4q9oUmW1yo/edit?usp=sharing"",""สุโขทัย!I376"")"),35801)</f>
        <v>35801</v>
      </c>
      <c r="J481" s="418">
        <f ca="1">IFERROR(__xludf.DUMMYFUNCTION("IMPORTRANGE(""https://docs.google.com/spreadsheets/d/11923uPwbBZFjjGgGUA6NLw09EwE0CqkOc4q9oUmW1yo/edit?usp=sharing"",""สุโขทัย!J376"")"),0)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IFERROR(__xludf.DUMMYFUNCTION("IMPORTRANGE(""https://docs.google.com/spreadsheets/d/11923uPwbBZFjjGgGUA6NLw09EwE0CqkOc4q9oUmW1yo/edit?usp=sharing"",""สุโขทัย!I377"")"),4578)</f>
        <v>4578</v>
      </c>
      <c r="J482" s="418">
        <f ca="1">IFERROR(__xludf.DUMMYFUNCTION("IMPORTRANGE(""https://docs.google.com/spreadsheets/d/11923uPwbBZFjjGgGUA6NLw09EwE0CqkOc4q9oUmW1yo/edit?usp=sharing"",""สุโขทัย!J377"")"),0)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IFERROR(__xludf.DUMMYFUNCTION("IMPORTRANGE(""https://docs.google.com/spreadsheets/d/11923uPwbBZFjjGgGUA6NLw09EwE0CqkOc4q9oUmW1yo/edit?usp=sharing"",""สุโขทัย!I378"")"),0)</f>
        <v>0</v>
      </c>
      <c r="J483" s="188">
        <f ca="1">IFERROR(__xludf.DUMMYFUNCTION("IMPORTRANGE(""https://docs.google.com/spreadsheets/d/11923uPwbBZFjjGgGUA6NLw09EwE0CqkOc4q9oUmW1yo/edit?usp=sharing"",""สุโขทัย!J378"")"),0)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IFERROR(__xludf.DUMMYFUNCTION("IMPORTRANGE(""https://docs.google.com/spreadsheets/d/11923uPwbBZFjjGgGUA6NLw09EwE0CqkOc4q9oUmW1yo/edit?usp=sharing"",""สุโขทัย!I379"")"),0)</f>
        <v>0</v>
      </c>
      <c r="J484" s="188">
        <f ca="1">IFERROR(__xludf.DUMMYFUNCTION("IMPORTRANGE(""https://docs.google.com/spreadsheets/d/11923uPwbBZFjjGgGUA6NLw09EwE0CqkOc4q9oUmW1yo/edit?usp=sharing"",""สุโขทัย!J379"")"),0)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IFERROR(__xludf.DUMMYFUNCTION("IMPORTRANGE(""https://docs.google.com/spreadsheets/d/11923uPwbBZFjjGgGUA6NLw09EwE0CqkOc4q9oUmW1yo/edit?usp=sharing"",""สุโขทัย!I380"")"),0)</f>
        <v>0</v>
      </c>
      <c r="J485" s="188">
        <f ca="1">IFERROR(__xludf.DUMMYFUNCTION("IMPORTRANGE(""https://docs.google.com/spreadsheets/d/11923uPwbBZFjjGgGUA6NLw09EwE0CqkOc4q9oUmW1yo/edit?usp=sharing"",""สุโขทัย!J380"")"),0)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IFERROR(__xludf.DUMMYFUNCTION("IMPORTRANGE(""https://docs.google.com/spreadsheets/d/11923uPwbBZFjjGgGUA6NLw09EwE0CqkOc4q9oUmW1yo/edit?usp=sharing"",""สุโขทัย!I381"")"),0)</f>
        <v>0</v>
      </c>
      <c r="J486" s="188">
        <f ca="1">IFERROR(__xludf.DUMMYFUNCTION("IMPORTRANGE(""https://docs.google.com/spreadsheets/d/11923uPwbBZFjjGgGUA6NLw09EwE0CqkOc4q9oUmW1yo/edit?usp=sharing"",""สุโขทัย!J381"")"),0)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IFERROR(__xludf.DUMMYFUNCTION("IMPORTRANGE(""https://docs.google.com/spreadsheets/d/11923uPwbBZFjjGgGUA6NLw09EwE0CqkOc4q9oUmW1yo/edit?usp=sharing"",""สุโขทัย!I382"")"),0)</f>
        <v>0</v>
      </c>
      <c r="J487" s="418">
        <f ca="1">IFERROR(__xludf.DUMMYFUNCTION("IMPORTRANGE(""https://docs.google.com/spreadsheets/d/11923uPwbBZFjjGgGUA6NLw09EwE0CqkOc4q9oUmW1yo/edit?usp=sharing"",""สุโขทัย!J382"")"),0)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IFERROR(__xludf.DUMMYFUNCTION("IMPORTRANGE(""https://docs.google.com/spreadsheets/d/11923uPwbBZFjjGgGUA6NLw09EwE0CqkOc4q9oUmW1yo/edit?usp=sharing"",""สุโขทัย!I383"")"),0)</f>
        <v>0</v>
      </c>
      <c r="J488" s="418">
        <f ca="1">IFERROR(__xludf.DUMMYFUNCTION("IMPORTRANGE(""https://docs.google.com/spreadsheets/d/11923uPwbBZFjjGgGUA6NLw09EwE0CqkOc4q9oUmW1yo/edit?usp=sharing"",""สุโขทัย!J383"")"),0)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IFERROR(__xludf.DUMMYFUNCTION("IMPORTRANGE(""https://docs.google.com/spreadsheets/d/11923uPwbBZFjjGgGUA6NLw09EwE0CqkOc4q9oUmW1yo/edit?usp=sharing"",""สุโขทัย!I384"")"),0)</f>
        <v>0</v>
      </c>
      <c r="J489" s="188">
        <f ca="1">IFERROR(__xludf.DUMMYFUNCTION("IMPORTRANGE(""https://docs.google.com/spreadsheets/d/11923uPwbBZFjjGgGUA6NLw09EwE0CqkOc4q9oUmW1yo/edit?usp=sharing"",""สุโขทัย!J384"")"),0)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IFERROR(__xludf.DUMMYFUNCTION("IMPORTRANGE(""https://docs.google.com/spreadsheets/d/11923uPwbBZFjjGgGUA6NLw09EwE0CqkOc4q9oUmW1yo/edit?usp=sharing"",""สุโขทัย!I385"")"),0)</f>
        <v>0</v>
      </c>
      <c r="J490" s="188">
        <f ca="1">IFERROR(__xludf.DUMMYFUNCTION("IMPORTRANGE(""https://docs.google.com/spreadsheets/d/11923uPwbBZFjjGgGUA6NLw09EwE0CqkOc4q9oUmW1yo/edit?usp=sharing"",""สุโขทัย!J385"")"),0)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IFERROR(__xludf.DUMMYFUNCTION("IMPORTRANGE(""https://docs.google.com/spreadsheets/d/11923uPwbBZFjjGgGUA6NLw09EwE0CqkOc4q9oUmW1yo/edit?usp=sharing"",""สุโขทัย!I386"")"),0)</f>
        <v>0</v>
      </c>
      <c r="J491" s="188">
        <f ca="1">IFERROR(__xludf.DUMMYFUNCTION("IMPORTRANGE(""https://docs.google.com/spreadsheets/d/11923uPwbBZFjjGgGUA6NLw09EwE0CqkOc4q9oUmW1yo/edit?usp=sharing"",""สุโขทัย!J386"")"),0)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IFERROR(__xludf.DUMMYFUNCTION("IMPORTRANGE(""https://docs.google.com/spreadsheets/d/11923uPwbBZFjjGgGUA6NLw09EwE0CqkOc4q9oUmW1yo/edit?usp=sharing"",""สุโขทัย!I387"")"),0)</f>
        <v>0</v>
      </c>
      <c r="J492" s="188">
        <f ca="1">IFERROR(__xludf.DUMMYFUNCTION("IMPORTRANGE(""https://docs.google.com/spreadsheets/d/11923uPwbBZFjjGgGUA6NLw09EwE0CqkOc4q9oUmW1yo/edit?usp=sharing"",""สุโขทัย!J387"")"),0)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IFERROR(__xludf.DUMMYFUNCTION("IMPORTRANGE(""https://docs.google.com/spreadsheets/d/11923uPwbBZFjjGgGUA6NLw09EwE0CqkOc4q9oUmW1yo/edit?usp=sharing"",""สุโขทัย!I388"")"),0)</f>
        <v>0</v>
      </c>
      <c r="J493" s="188">
        <f ca="1">IFERROR(__xludf.DUMMYFUNCTION("IMPORTRANGE(""https://docs.google.com/spreadsheets/d/11923uPwbBZFjjGgGUA6NLw09EwE0CqkOc4q9oUmW1yo/edit?usp=sharing"",""สุโขทัย!J388"")"),0)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IFERROR(__xludf.DUMMYFUNCTION("IMPORTRANGE(""https://docs.google.com/spreadsheets/d/11923uPwbBZFjjGgGUA6NLw09EwE0CqkOc4q9oUmW1yo/edit?usp=sharing"",""สุโขทัย!I389"")"),0)</f>
        <v>0</v>
      </c>
      <c r="J494" s="434">
        <f ca="1">IFERROR(__xludf.DUMMYFUNCTION("IMPORTRANGE(""https://docs.google.com/spreadsheets/d/11923uPwbBZFjjGgGUA6NLw09EwE0CqkOc4q9oUmW1yo/edit?usp=sharing"",""สุโขทัย!J389"")"),0)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IFERROR(__xludf.DUMMYFUNCTION("IMPORTRANGE(""https://docs.google.com/spreadsheets/d/11923uPwbBZFjjGgGUA6NLw09EwE0CqkOc4q9oUmW1yo/edit?usp=sharing"",""สุโขทัย!I390"")"),0)</f>
        <v>0</v>
      </c>
      <c r="J495" s="434">
        <f ca="1">IFERROR(__xludf.DUMMYFUNCTION("IMPORTRANGE(""https://docs.google.com/spreadsheets/d/11923uPwbBZFjjGgGUA6NLw09EwE0CqkOc4q9oUmW1yo/edit?usp=sharing"",""สุโขทัย!J390"")"),0)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IFERROR(__xludf.DUMMYFUNCTION("IMPORTRANGE(""https://docs.google.com/spreadsheets/d/11923uPwbBZFjjGgGUA6NLw09EwE0CqkOc4q9oUmW1yo/edit?usp=sharing"",""สุโขทัย!I391"")"),0)</f>
        <v>0</v>
      </c>
      <c r="J496" s="434">
        <f ca="1">IFERROR(__xludf.DUMMYFUNCTION("IMPORTRANGE(""https://docs.google.com/spreadsheets/d/11923uPwbBZFjjGgGUA6NLw09EwE0CqkOc4q9oUmW1yo/edit?usp=sharing"",""สุโขทัย!J391"")"),0)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IFERROR(__xludf.DUMMYFUNCTION("IMPORTRANGE(""https://docs.google.com/spreadsheets/d/11923uPwbBZFjjGgGUA6NLw09EwE0CqkOc4q9oUmW1yo/edit?usp=sharing"",""สุโขทัย!I392"")"),1851)</f>
        <v>1851</v>
      </c>
      <c r="J497" s="441">
        <f ca="1">IFERROR(__xludf.DUMMYFUNCTION("IMPORTRANGE(""https://docs.google.com/spreadsheets/d/11923uPwbBZFjjGgGUA6NLw09EwE0CqkOc4q9oUmW1yo/edit?usp=sharing"",""สุโขทัย!J392"")"),0)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IFERROR(__xludf.DUMMYFUNCTION("IMPORTRANGE(""https://docs.google.com/spreadsheets/d/11923uPwbBZFjjGgGUA6NLw09EwE0CqkOc4q9oUmW1yo/edit?usp=sharing"",""สุโขทัย!I393"")"),1851)</f>
        <v>1851</v>
      </c>
      <c r="J498" s="418">
        <f ca="1">IFERROR(__xludf.DUMMYFUNCTION("IMPORTRANGE(""https://docs.google.com/spreadsheets/d/11923uPwbBZFjjGgGUA6NLw09EwE0CqkOc4q9oUmW1yo/edit?usp=sharing"",""สุโขทัย!J393"")"),0)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IFERROR(__xludf.DUMMYFUNCTION("IMPORTRANGE(""https://docs.google.com/spreadsheets/d/11923uPwbBZFjjGgGUA6NLw09EwE0CqkOc4q9oUmW1yo/edit?usp=sharing"",""สุโขทัย!I394"")"),138)</f>
        <v>138</v>
      </c>
      <c r="J499" s="418">
        <f ca="1">IFERROR(__xludf.DUMMYFUNCTION("IMPORTRANGE(""https://docs.google.com/spreadsheets/d/11923uPwbBZFjjGgGUA6NLw09EwE0CqkOc4q9oUmW1yo/edit?usp=sharing"",""สุโขทัย!J394"")"),0)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IFERROR(__xludf.DUMMYFUNCTION("IMPORTRANGE(""https://docs.google.com/spreadsheets/d/11923uPwbBZFjjGgGUA6NLw09EwE0CqkOc4q9oUmW1yo/edit?usp=sharing"",""สุโขทัย!I395"")"),0)</f>
        <v>0</v>
      </c>
      <c r="J500" s="162">
        <f ca="1">IFERROR(__xludf.DUMMYFUNCTION("IMPORTRANGE(""https://docs.google.com/spreadsheets/d/11923uPwbBZFjjGgGUA6NLw09EwE0CqkOc4q9oUmW1yo/edit?usp=sharing"",""สุโขทัย!J395"")"),0)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IFERROR(__xludf.DUMMYFUNCTION("IMPORTRANGE(""https://docs.google.com/spreadsheets/d/11923uPwbBZFjjGgGUA6NLw09EwE0CqkOc4q9oUmW1yo/edit?usp=sharing"",""สุโขทัย!I396"")"),0)</f>
        <v>0</v>
      </c>
      <c r="J501" s="162">
        <f ca="1">IFERROR(__xludf.DUMMYFUNCTION("IMPORTRANGE(""https://docs.google.com/spreadsheets/d/11923uPwbBZFjjGgGUA6NLw09EwE0CqkOc4q9oUmW1yo/edit?usp=sharing"",""สุโขทัย!J396"")"),0)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IFERROR(__xludf.DUMMYFUNCTION("IMPORTRANGE(""https://docs.google.com/spreadsheets/d/11923uPwbBZFjjGgGUA6NLw09EwE0CqkOc4q9oUmW1yo/edit?usp=sharing"",""สุโขทัย!I397"")"),0)</f>
        <v>0</v>
      </c>
      <c r="J502" s="188">
        <f ca="1">IFERROR(__xludf.DUMMYFUNCTION("IMPORTRANGE(""https://docs.google.com/spreadsheets/d/11923uPwbBZFjjGgGUA6NLw09EwE0CqkOc4q9oUmW1yo/edit?usp=sharing"",""สุโขทัย!J397"")"),0)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IFERROR(__xludf.DUMMYFUNCTION("IMPORTRANGE(""https://docs.google.com/spreadsheets/d/11923uPwbBZFjjGgGUA6NLw09EwE0CqkOc4q9oUmW1yo/edit?usp=sharing"",""สุโขทัย!I398"")"),0)</f>
        <v>0</v>
      </c>
      <c r="J503" s="197">
        <f ca="1">IFERROR(__xludf.DUMMYFUNCTION("IMPORTRANGE(""https://docs.google.com/spreadsheets/d/11923uPwbBZFjjGgGUA6NLw09EwE0CqkOc4q9oUmW1yo/edit?usp=sharing"",""สุโขทัย!J398"")"),0)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IFERROR(__xludf.DUMMYFUNCTION("IMPORTRANGE(""https://docs.google.com/spreadsheets/d/11923uPwbBZFjjGgGUA6NLw09EwE0CqkOc4q9oUmW1yo/edit?usp=sharing"",""สุโขทัย!I399"")"),0)</f>
        <v>0</v>
      </c>
      <c r="J504" s="188">
        <f ca="1">IFERROR(__xludf.DUMMYFUNCTION("IMPORTRANGE(""https://docs.google.com/spreadsheets/d/11923uPwbBZFjjGgGUA6NLw09EwE0CqkOc4q9oUmW1yo/edit?usp=sharing"",""สุโขทัย!J399"")"),0)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IFERROR(__xludf.DUMMYFUNCTION("IMPORTRANGE(""https://docs.google.com/spreadsheets/d/11923uPwbBZFjjGgGUA6NLw09EwE0CqkOc4q9oUmW1yo/edit?usp=sharing"",""สุโขทัย!I400"")"),0)</f>
        <v>0</v>
      </c>
      <c r="J505" s="197">
        <f ca="1">IFERROR(__xludf.DUMMYFUNCTION("IMPORTRANGE(""https://docs.google.com/spreadsheets/d/11923uPwbBZFjjGgGUA6NLw09EwE0CqkOc4q9oUmW1yo/edit?usp=sharing"",""สุโขทัย!J400"")"),0)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IFERROR(__xludf.DUMMYFUNCTION("IMPORTRANGE(""https://docs.google.com/spreadsheets/d/11923uPwbBZFjjGgGUA6NLw09EwE0CqkOc4q9oUmW1yo/edit?usp=sharing"",""สุโขทัย!I401"")"),0)</f>
        <v>0</v>
      </c>
      <c r="J506" s="188">
        <f ca="1">IFERROR(__xludf.DUMMYFUNCTION("IMPORTRANGE(""https://docs.google.com/spreadsheets/d/11923uPwbBZFjjGgGUA6NLw09EwE0CqkOc4q9oUmW1yo/edit?usp=sharing"",""สุโขทัย!J401"")"),0)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IFERROR(__xludf.DUMMYFUNCTION("IMPORTRANGE(""https://docs.google.com/spreadsheets/d/11923uPwbBZFjjGgGUA6NLw09EwE0CqkOc4q9oUmW1yo/edit?usp=sharing"",""สุโขทัย!I402"")"),0)</f>
        <v>0</v>
      </c>
      <c r="J507" s="197">
        <f ca="1">IFERROR(__xludf.DUMMYFUNCTION("IMPORTRANGE(""https://docs.google.com/spreadsheets/d/11923uPwbBZFjjGgGUA6NLw09EwE0CqkOc4q9oUmW1yo/edit?usp=sharing"",""สุโขทัย!J402"")"),0)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IFERROR(__xludf.DUMMYFUNCTION("IMPORTRANGE(""https://docs.google.com/spreadsheets/d/11923uPwbBZFjjGgGUA6NLw09EwE0CqkOc4q9oUmW1yo/edit?usp=sharing"",""สุโขทัย!I403"")"),0)</f>
        <v>0</v>
      </c>
      <c r="J508" s="162">
        <f ca="1">IFERROR(__xludf.DUMMYFUNCTION("IMPORTRANGE(""https://docs.google.com/spreadsheets/d/11923uPwbBZFjjGgGUA6NLw09EwE0CqkOc4q9oUmW1yo/edit?usp=sharing"",""สุโขทัย!J403"")"),0)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IFERROR(__xludf.DUMMYFUNCTION("IMPORTRANGE(""https://docs.google.com/spreadsheets/d/11923uPwbBZFjjGgGUA6NLw09EwE0CqkOc4q9oUmW1yo/edit?usp=sharing"",""สุโขทัย!I404"")"),0)</f>
        <v>0</v>
      </c>
      <c r="J509" s="162">
        <f ca="1">IFERROR(__xludf.DUMMYFUNCTION("IMPORTRANGE(""https://docs.google.com/spreadsheets/d/11923uPwbBZFjjGgGUA6NLw09EwE0CqkOc4q9oUmW1yo/edit?usp=sharing"",""สุโขทัย!J404"")"),0)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IFERROR(__xludf.DUMMYFUNCTION("IMPORTRANGE(""https://docs.google.com/spreadsheets/d/11923uPwbBZFjjGgGUA6NLw09EwE0CqkOc4q9oUmW1yo/edit?usp=sharing"",""สุโขทัย!I405"")"),0)</f>
        <v>0</v>
      </c>
      <c r="J510" s="197">
        <f ca="1">IFERROR(__xludf.DUMMYFUNCTION("IMPORTRANGE(""https://docs.google.com/spreadsheets/d/11923uPwbBZFjjGgGUA6NLw09EwE0CqkOc4q9oUmW1yo/edit?usp=sharing"",""สุโขทัย!J405"")"),0)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IFERROR(__xludf.DUMMYFUNCTION("IMPORTRANGE(""https://docs.google.com/spreadsheets/d/11923uPwbBZFjjGgGUA6NLw09EwE0CqkOc4q9oUmW1yo/edit?usp=sharing"",""สุโขทัย!I406"")"),0)</f>
        <v>0</v>
      </c>
      <c r="J511" s="197">
        <f ca="1">IFERROR(__xludf.DUMMYFUNCTION("IMPORTRANGE(""https://docs.google.com/spreadsheets/d/11923uPwbBZFjjGgGUA6NLw09EwE0CqkOc4q9oUmW1yo/edit?usp=sharing"",""สุโขทัย!J406"")"),0)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IFERROR(__xludf.DUMMYFUNCTION("IMPORTRANGE(""https://docs.google.com/spreadsheets/d/11923uPwbBZFjjGgGUA6NLw09EwE0CqkOc4q9oUmW1yo/edit?usp=sharing"",""สุโขทัย!I407"")"),0)</f>
        <v>0</v>
      </c>
      <c r="J512" s="197">
        <f ca="1">IFERROR(__xludf.DUMMYFUNCTION("IMPORTRANGE(""https://docs.google.com/spreadsheets/d/11923uPwbBZFjjGgGUA6NLw09EwE0CqkOc4q9oUmW1yo/edit?usp=sharing"",""สุโขทัย!J407"")"),0)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IFERROR(__xludf.DUMMYFUNCTION("IMPORTRANGE(""https://docs.google.com/spreadsheets/d/11923uPwbBZFjjGgGUA6NLw09EwE0CqkOc4q9oUmW1yo/edit?usp=sharing"",""สุโขทัย!I408"")"),0)</f>
        <v>0</v>
      </c>
      <c r="J513" s="197">
        <f ca="1">IFERROR(__xludf.DUMMYFUNCTION("IMPORTRANGE(""https://docs.google.com/spreadsheets/d/11923uPwbBZFjjGgGUA6NLw09EwE0CqkOc4q9oUmW1yo/edit?usp=sharing"",""สุโขทัย!J408"")"),0)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IFERROR(__xludf.DUMMYFUNCTION("IMPORTRANGE(""https://docs.google.com/spreadsheets/d/11923uPwbBZFjjGgGUA6NLw09EwE0CqkOc4q9oUmW1yo/edit?usp=sharing"",""สุโขทัย!I409"")"),0)</f>
        <v>0</v>
      </c>
      <c r="J514" s="197">
        <f ca="1">IFERROR(__xludf.DUMMYFUNCTION("IMPORTRANGE(""https://docs.google.com/spreadsheets/d/11923uPwbBZFjjGgGUA6NLw09EwE0CqkOc4q9oUmW1yo/edit?usp=sharing"",""สุโขทัย!J409"")"),0)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IFERROR(__xludf.DUMMYFUNCTION("IMPORTRANGE(""https://docs.google.com/spreadsheets/d/11923uPwbBZFjjGgGUA6NLw09EwE0CqkOc4q9oUmW1yo/edit?usp=sharing"",""สุโขทัย!I410"")"),0)</f>
        <v>0</v>
      </c>
      <c r="J515" s="197">
        <f ca="1">IFERROR(__xludf.DUMMYFUNCTION("IMPORTRANGE(""https://docs.google.com/spreadsheets/d/11923uPwbBZFjjGgGUA6NLw09EwE0CqkOc4q9oUmW1yo/edit?usp=sharing"",""สุโขทัย!J410"")"),0)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IFERROR(__xludf.DUMMYFUNCTION("IMPORTRANGE(""https://docs.google.com/spreadsheets/d/11923uPwbBZFjjGgGUA6NLw09EwE0CqkOc4q9oUmW1yo/edit?usp=sharing"",""สุโขทัย!I411"")"),0)</f>
        <v>0</v>
      </c>
      <c r="J516" s="266">
        <f ca="1">IFERROR(__xludf.DUMMYFUNCTION("IMPORTRANGE(""https://docs.google.com/spreadsheets/d/11923uPwbBZFjjGgGUA6NLw09EwE0CqkOc4q9oUmW1yo/edit?usp=sharing"",""สุโขทัย!J411"")"),0)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IFERROR(__xludf.DUMMYFUNCTION("IMPORTRANGE(""https://docs.google.com/spreadsheets/d/11923uPwbBZFjjGgGUA6NLw09EwE0CqkOc4q9oUmW1yo/edit?usp=sharing"",""สุโขทัย!I412"")"),0)</f>
        <v>0</v>
      </c>
      <c r="J517" s="282">
        <f ca="1">IFERROR(__xludf.DUMMYFUNCTION("IMPORTRANGE(""https://docs.google.com/spreadsheets/d/11923uPwbBZFjjGgGUA6NLw09EwE0CqkOc4q9oUmW1yo/edit?usp=sharing"",""สุโขทัย!J412"")"),0)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IFERROR(__xludf.DUMMYFUNCTION("IMPORTRANGE(""https://docs.google.com/spreadsheets/d/11923uPwbBZFjjGgGUA6NLw09EwE0CqkOc4q9oUmW1yo/edit?usp=sharing"",""สุโขทัย!I413"")"),0)</f>
        <v>0</v>
      </c>
      <c r="J518" s="282">
        <f ca="1">IFERROR(__xludf.DUMMYFUNCTION("IMPORTRANGE(""https://docs.google.com/spreadsheets/d/11923uPwbBZFjjGgGUA6NLw09EwE0CqkOc4q9oUmW1yo/edit?usp=sharing"",""สุโขทัย!J413"")"),0)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IFERROR(__xludf.DUMMYFUNCTION("IMPORTRANGE(""https://docs.google.com/spreadsheets/d/11923uPwbBZFjjGgGUA6NLw09EwE0CqkOc4q9oUmW1yo/edit?usp=sharing"",""สุโขทัย!I414"")"),0)</f>
        <v>0</v>
      </c>
      <c r="J519" s="187">
        <f ca="1">IFERROR(__xludf.DUMMYFUNCTION("IMPORTRANGE(""https://docs.google.com/spreadsheets/d/11923uPwbBZFjjGgGUA6NLw09EwE0CqkOc4q9oUmW1yo/edit?usp=sharing"",""สุโขทัย!J414"")"),0)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IFERROR(__xludf.DUMMYFUNCTION("IMPORTRANGE(""https://docs.google.com/spreadsheets/d/11923uPwbBZFjjGgGUA6NLw09EwE0CqkOc4q9oUmW1yo/edit?usp=sharing"",""สุโขทัย!I415"")"),0)</f>
        <v>0</v>
      </c>
      <c r="J520" s="187">
        <f ca="1">IFERROR(__xludf.DUMMYFUNCTION("IMPORTRANGE(""https://docs.google.com/spreadsheets/d/11923uPwbBZFjjGgGUA6NLw09EwE0CqkOc4q9oUmW1yo/edit?usp=sharing"",""สุโขทัย!J415"")"),0)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IFERROR(__xludf.DUMMYFUNCTION("IMPORTRANGE(""https://docs.google.com/spreadsheets/d/11923uPwbBZFjjGgGUA6NLw09EwE0CqkOc4q9oUmW1yo/edit?usp=sharing"",""สุโขทัย!I416"")"),0)</f>
        <v>0</v>
      </c>
      <c r="J521" s="187">
        <f ca="1">IFERROR(__xludf.DUMMYFUNCTION("IMPORTRANGE(""https://docs.google.com/spreadsheets/d/11923uPwbBZFjjGgGUA6NLw09EwE0CqkOc4q9oUmW1yo/edit?usp=sharing"",""สุโขทัย!J416"")"),0)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IFERROR(__xludf.DUMMYFUNCTION("IMPORTRANGE(""https://docs.google.com/spreadsheets/d/11923uPwbBZFjjGgGUA6NLw09EwE0CqkOc4q9oUmW1yo/edit?usp=sharing"",""สุโขทัย!I417"")"),0)</f>
        <v>0</v>
      </c>
      <c r="J522" s="187">
        <f ca="1">IFERROR(__xludf.DUMMYFUNCTION("IMPORTRANGE(""https://docs.google.com/spreadsheets/d/11923uPwbBZFjjGgGUA6NLw09EwE0CqkOc4q9oUmW1yo/edit?usp=sharing"",""สุโขทัย!J417"")"),0)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IFERROR(__xludf.DUMMYFUNCTION("IMPORTRANGE(""https://docs.google.com/spreadsheets/d/11923uPwbBZFjjGgGUA6NLw09EwE0CqkOc4q9oUmW1yo/edit?usp=sharing"",""สุโขทัย!I418"")"),0)</f>
        <v>0</v>
      </c>
      <c r="J523" s="187">
        <f ca="1">IFERROR(__xludf.DUMMYFUNCTION("IMPORTRANGE(""https://docs.google.com/spreadsheets/d/11923uPwbBZFjjGgGUA6NLw09EwE0CqkOc4q9oUmW1yo/edit?usp=sharing"",""สุโขทัย!J418"")"),12)</f>
        <v>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IFERROR(__xludf.DUMMYFUNCTION("IMPORTRANGE(""https://docs.google.com/spreadsheets/d/11923uPwbBZFjjGgGUA6NLw09EwE0CqkOc4q9oUmW1yo/edit?usp=sharing"",""สุโขทัย!I419"")"),0)</f>
        <v>0</v>
      </c>
      <c r="J524" s="187">
        <f ca="1">IFERROR(__xludf.DUMMYFUNCTION("IMPORTRANGE(""https://docs.google.com/spreadsheets/d/11923uPwbBZFjjGgGUA6NLw09EwE0CqkOc4q9oUmW1yo/edit?usp=sharing"",""สุโขทัย!J419"")"),2)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IFERROR(__xludf.DUMMYFUNCTION("IMPORTRANGE(""https://docs.google.com/spreadsheets/d/11923uPwbBZFjjGgGUA6NLw09EwE0CqkOc4q9oUmW1yo/edit?usp=sharing"",""สุโขทัย!I420"")"),12)</f>
        <v>12</v>
      </c>
      <c r="J525" s="282">
        <f ca="1">IFERROR(__xludf.DUMMYFUNCTION("IMPORTRANGE(""https://docs.google.com/spreadsheets/d/11923uPwbBZFjjGgGUA6NLw09EwE0CqkOc4q9oUmW1yo/edit?usp=sharing"",""สุโขทัย!J420"")"),12)</f>
        <v>12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IFERROR(__xludf.DUMMYFUNCTION("IMPORTRANGE(""https://docs.google.com/spreadsheets/d/11923uPwbBZFjjGgGUA6NLw09EwE0CqkOc4q9oUmW1yo/edit?usp=sharing"",""สุโขทัย!I421"")"),2)</f>
        <v>2</v>
      </c>
      <c r="J526" s="282">
        <f ca="1">IFERROR(__xludf.DUMMYFUNCTION("IMPORTRANGE(""https://docs.google.com/spreadsheets/d/11923uPwbBZFjjGgGUA6NLw09EwE0CqkOc4q9oUmW1yo/edit?usp=sharing"",""สุโขทัย!J421"")"),2)</f>
        <v>2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IFERROR(__xludf.DUMMYFUNCTION("IMPORTRANGE(""https://docs.google.com/spreadsheets/d/11923uPwbBZFjjGgGUA6NLw09EwE0CqkOc4q9oUmW1yo/edit?usp=sharing"",""สุโขทัย!I422"")"),0)</f>
        <v>0</v>
      </c>
      <c r="J527" s="197">
        <f ca="1">IFERROR(__xludf.DUMMYFUNCTION("IMPORTRANGE(""https://docs.google.com/spreadsheets/d/11923uPwbBZFjjGgGUA6NLw09EwE0CqkOc4q9oUmW1yo/edit?usp=sharing"",""สุโขทัย!J422"")"),0)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IFERROR(__xludf.DUMMYFUNCTION("IMPORTRANGE(""https://docs.google.com/spreadsheets/d/11923uPwbBZFjjGgGUA6NLw09EwE0CqkOc4q9oUmW1yo/edit?usp=sharing"",""สุโขทัย!I423"")"),0)</f>
        <v>0</v>
      </c>
      <c r="J528" s="197">
        <f ca="1">IFERROR(__xludf.DUMMYFUNCTION("IMPORTRANGE(""https://docs.google.com/spreadsheets/d/11923uPwbBZFjjGgGUA6NLw09EwE0CqkOc4q9oUmW1yo/edit?usp=sharing"",""สุโขทัย!J423"")"),0)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IFERROR(__xludf.DUMMYFUNCTION("IMPORTRANGE(""https://docs.google.com/spreadsheets/d/11923uPwbBZFjjGgGUA6NLw09EwE0CqkOc4q9oUmW1yo/edit?usp=sharing"",""สุโขทัย!I424"")"),0)</f>
        <v>0</v>
      </c>
      <c r="J529" s="197">
        <f ca="1">IFERROR(__xludf.DUMMYFUNCTION("IMPORTRANGE(""https://docs.google.com/spreadsheets/d/11923uPwbBZFjjGgGUA6NLw09EwE0CqkOc4q9oUmW1yo/edit?usp=sharing"",""สุโขทัย!J424"")"),12)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IFERROR(__xludf.DUMMYFUNCTION("IMPORTRANGE(""https://docs.google.com/spreadsheets/d/11923uPwbBZFjjGgGUA6NLw09EwE0CqkOc4q9oUmW1yo/edit?usp=sharing"",""สุโขทัย!I425"")"),0)</f>
        <v>0</v>
      </c>
      <c r="J530" s="197">
        <f ca="1">IFERROR(__xludf.DUMMYFUNCTION("IMPORTRANGE(""https://docs.google.com/spreadsheets/d/11923uPwbBZFjjGgGUA6NLw09EwE0CqkOc4q9oUmW1yo/edit?usp=sharing"",""สุโขทัย!J425"")"),2)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IFERROR(__xludf.DUMMYFUNCTION("IMPORTRANGE(""https://docs.google.com/spreadsheets/d/11923uPwbBZFjjGgGUA6NLw09EwE0CqkOc4q9oUmW1yo/edit?usp=sharing"",""สุโขทัย!I426"")"),0)</f>
        <v>0</v>
      </c>
      <c r="J531" s="197">
        <f ca="1">IFERROR(__xludf.DUMMYFUNCTION("IMPORTRANGE(""https://docs.google.com/spreadsheets/d/11923uPwbBZFjjGgGUA6NLw09EwE0CqkOc4q9oUmW1yo/edit?usp=sharing"",""สุโขทัย!J426"")"),0)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IFERROR(__xludf.DUMMYFUNCTION("IMPORTRANGE(""https://docs.google.com/spreadsheets/d/11923uPwbBZFjjGgGUA6NLw09EwE0CqkOc4q9oUmW1yo/edit?usp=sharing"",""สุโขทัย!I427"")"),0)</f>
        <v>0</v>
      </c>
      <c r="J532" s="464">
        <f ca="1">IFERROR(__xludf.DUMMYFUNCTION("IMPORTRANGE(""https://docs.google.com/spreadsheets/d/11923uPwbBZFjjGgGUA6NLw09EwE0CqkOc4q9oUmW1yo/edit?usp=sharing"",""สุโขทัย!J427"")"),0)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IFERROR(__xludf.DUMMYFUNCTION("IMPORTRANGE(""https://docs.google.com/spreadsheets/d/11923uPwbBZFjjGgGUA6NLw09EwE0CqkOc4q9oUmW1yo/edit?usp=sharing"",""สุโขทัย!I428"")"),22)</f>
        <v>22</v>
      </c>
      <c r="J533" s="408">
        <f ca="1">IFERROR(__xludf.DUMMYFUNCTION("IMPORTRANGE(""https://docs.google.com/spreadsheets/d/11923uPwbBZFjjGgGUA6NLw09EwE0CqkOc4q9oUmW1yo/edit?usp=sharing"",""สุโขทัย!J428"")"),22)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IFERROR(__xludf.DUMMYFUNCTION("IMPORTRANGE(""https://docs.google.com/spreadsheets/d/11923uPwbBZFjjGgGUA6NLw09EwE0CqkOc4q9oUmW1yo/edit?usp=sharing"",""สุโขทัย!L428"")"),34340)</f>
        <v>34340</v>
      </c>
      <c r="M533" s="410"/>
      <c r="N533" s="410">
        <f ca="1">IFERROR(__xludf.DUMMYFUNCTION("IMPORTRANGE(""https://docs.google.com/spreadsheets/d/11923uPwbBZFjjGgGUA6NLw09EwE0CqkOc4q9oUmW1yo/edit?usp=sharing"",""สุโขทัย!M428"")"),18740)</f>
        <v>18740</v>
      </c>
      <c r="O533" s="410">
        <f t="shared" ref="O533:O537" ca="1" si="118">+IF(L533&gt;0,N533*100/L533,0)</f>
        <v>54.571927781013393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IFERROR(__xludf.DUMMYFUNCTION("IMPORTRANGE(""https://docs.google.com/spreadsheets/d/11923uPwbBZFjjGgGUA6NLw09EwE0CqkOc4q9oUmW1yo/edit?usp=sharing"",""สุโขทัย!L429"")"),0)</f>
        <v>0</v>
      </c>
      <c r="M534" s="164"/>
      <c r="N534" s="168">
        <f ca="1">IFERROR(__xludf.DUMMYFUNCTION("IMPORTRANGE(""https://docs.google.com/spreadsheets/d/11923uPwbBZFjjGgGUA6NLw09EwE0CqkOc4q9oUmW1yo/edit?usp=sharing"",""สุโขทัย!M429"")"),0)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IFERROR(__xludf.DUMMYFUNCTION("IMPORTRANGE(""https://docs.google.com/spreadsheets/d/11923uPwbBZFjjGgGUA6NLw09EwE0CqkOc4q9oUmW1yo/edit?usp=sharing"",""สุโขทัย!L430"")"),34340)</f>
        <v>34340</v>
      </c>
      <c r="M535" s="165"/>
      <c r="N535" s="168">
        <f ca="1">IFERROR(__xludf.DUMMYFUNCTION("IMPORTRANGE(""https://docs.google.com/spreadsheets/d/11923uPwbBZFjjGgGUA6NLw09EwE0CqkOc4q9oUmW1yo/edit?usp=sharing"",""สุโขทัย!M430"")"),18740)</f>
        <v>18740</v>
      </c>
      <c r="O535" s="168">
        <f t="shared" ca="1" si="118"/>
        <v>54.571927781013393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IFERROR(__xludf.DUMMYFUNCTION("IMPORTRANGE(""https://docs.google.com/spreadsheets/d/11923uPwbBZFjjGgGUA6NLw09EwE0CqkOc4q9oUmW1yo/edit?usp=sharing"",""สุโขทัย!L431"")"),0)</f>
        <v>0</v>
      </c>
      <c r="M536" s="168"/>
      <c r="N536" s="168">
        <f ca="1">IFERROR(__xludf.DUMMYFUNCTION("IMPORTRANGE(""https://docs.google.com/spreadsheets/d/11923uPwbBZFjjGgGUA6NLw09EwE0CqkOc4q9oUmW1yo/edit?usp=sharing"",""สุโขทัย!M431"")"),0)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IFERROR(__xludf.DUMMYFUNCTION("IMPORTRANGE(""https://docs.google.com/spreadsheets/d/11923uPwbBZFjjGgGUA6NLw09EwE0CqkOc4q9oUmW1yo/edit?usp=sharing"",""สุโขทัย!L432"")"),34340)</f>
        <v>34340</v>
      </c>
      <c r="M537" s="168"/>
      <c r="N537" s="168">
        <f ca="1">IFERROR(__xludf.DUMMYFUNCTION("IMPORTRANGE(""https://docs.google.com/spreadsheets/d/11923uPwbBZFjjGgGUA6NLw09EwE0CqkOc4q9oUmW1yo/edit?usp=sharing"",""สุโขทัย!M432"")"),18740)</f>
        <v>18740</v>
      </c>
      <c r="O537" s="168">
        <f t="shared" ca="1" si="118"/>
        <v>54.571927781013393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IFERROR(__xludf.DUMMYFUNCTION("IMPORTRANGE(""https://docs.google.com/spreadsheets/d/11923uPwbBZFjjGgGUA6NLw09EwE0CqkOc4q9oUmW1yo/edit?usp=sharing"",""สุโขทัย!M433"")"),18740)</f>
        <v>18740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IFERROR(__xludf.DUMMYFUNCTION("IMPORTRANGE(""https://docs.google.com/spreadsheets/d/11923uPwbBZFjjGgGUA6NLw09EwE0CqkOc4q9oUmW1yo/edit?usp=sharing"",""สุโขทัย!M434"")"),0)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IFERROR(__xludf.DUMMYFUNCTION("IMPORTRANGE(""https://docs.google.com/spreadsheets/d/11923uPwbBZFjjGgGUA6NLw09EwE0CqkOc4q9oUmW1yo/edit?usp=sharing"",""สุโขทัย!M435"")"),0)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IFERROR(__xludf.DUMMYFUNCTION("IMPORTRANGE(""https://docs.google.com/spreadsheets/d/11923uPwbBZFjjGgGUA6NLw09EwE0CqkOc4q9oUmW1yo/edit?usp=sharing"",""สุโขทัย!M436"")"),0)</f>
        <v>0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IFERROR(__xludf.DUMMYFUNCTION("IMPORTRANGE(""https://docs.google.com/spreadsheets/d/11923uPwbBZFjjGgGUA6NLw09EwE0CqkOc4q9oUmW1yo/edit?usp=sharing"",""สุโขทัย!J438"")"),0)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IFERROR(__xludf.DUMMYFUNCTION("IMPORTRANGE(""https://docs.google.com/spreadsheets/d/11923uPwbBZFjjGgGUA6NLw09EwE0CqkOc4q9oUmW1yo/edit?usp=sharing"",""สุโขทัย!J439"")"),1)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IFERROR(__xludf.DUMMYFUNCTION("IMPORTRANGE(""https://docs.google.com/spreadsheets/d/11923uPwbBZFjjGgGUA6NLw09EwE0CqkOc4q9oUmW1yo/edit?usp=sharing"",""สุโขทัย!J440"")"),1)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IFERROR(__xludf.DUMMYFUNCTION("IMPORTRANGE(""https://docs.google.com/spreadsheets/d/11923uPwbBZFjjGgGUA6NLw09EwE0CqkOc4q9oUmW1yo/edit?usp=sharing"",""สุโขทัย!J441"")"),1)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IFERROR(__xludf.DUMMYFUNCTION("IMPORTRANGE(""https://docs.google.com/spreadsheets/d/11923uPwbBZFjjGgGUA6NLw09EwE0CqkOc4q9oUmW1yo/edit?usp=sharing"",""สุโขทัย!I442"")"),22)</f>
        <v>22</v>
      </c>
      <c r="J547" s="188">
        <f ca="1">IFERROR(__xludf.DUMMYFUNCTION("IMPORTRANGE(""https://docs.google.com/spreadsheets/d/11923uPwbBZFjjGgGUA6NLw09EwE0CqkOc4q9oUmW1yo/edit?usp=sharing"",""สุโขทัย!J442"")"),22)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IFERROR(__xludf.DUMMYFUNCTION("IMPORTRANGE(""https://docs.google.com/spreadsheets/d/11923uPwbBZFjjGgGUA6NLw09EwE0CqkOc4q9oUmW1yo/edit?usp=sharing"",""สุโขทัย!J166"")"),0)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IFERROR(__xludf.DUMMYFUNCTION("IMPORTRANGE(""https://docs.google.com/spreadsheets/d/11923uPwbBZFjjGgGUA6NLw09EwE0CqkOc4q9oUmW1yo/edit?usp=sharing"",""สุโขทัย!J444"")"),0)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IFERROR(__xludf.DUMMYFUNCTION("IMPORTRANGE(""https://docs.google.com/spreadsheets/d/11923uPwbBZFjjGgGUA6NLw09EwE0CqkOc4q9oUmW1yo/edit?usp=sharing"",""สุโขทัย!J445"")"),0)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IFERROR(__xludf.DUMMYFUNCTION("IMPORTRANGE(""https://docs.google.com/spreadsheets/d/11923uPwbBZFjjGgGUA6NLw09EwE0CqkOc4q9oUmW1yo/edit?usp=sharing"",""สุโขทัย!I446"")"),0)</f>
        <v>0</v>
      </c>
      <c r="J551" s="408">
        <f ca="1">IFERROR(__xludf.DUMMYFUNCTION("IMPORTRANGE(""https://docs.google.com/spreadsheets/d/11923uPwbBZFjjGgGUA6NLw09EwE0CqkOc4q9oUmW1yo/edit?usp=sharing"",""สุโขทัย!J446"")"),0)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IFERROR(__xludf.DUMMYFUNCTION("IMPORTRANGE(""https://docs.google.com/spreadsheets/d/11923uPwbBZFjjGgGUA6NLw09EwE0CqkOc4q9oUmW1yo/edit?usp=sharing"",""สุโขทัย!L446"")"),0)</f>
        <v>0</v>
      </c>
      <c r="M551" s="410"/>
      <c r="N551" s="410">
        <f ca="1">IFERROR(__xludf.DUMMYFUNCTION("IMPORTRANGE(""https://docs.google.com/spreadsheets/d/11923uPwbBZFjjGgGUA6NLw09EwE0CqkOc4q9oUmW1yo/edit?usp=sharing"",""สุโขทัย!M446"")"),0)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IFERROR(__xludf.DUMMYFUNCTION("IMPORTRANGE(""https://docs.google.com/spreadsheets/d/11923uPwbBZFjjGgGUA6NLw09EwE0CqkOc4q9oUmW1yo/edit?usp=sharing"",""สุโขทัย!L447"")"),0)</f>
        <v>0</v>
      </c>
      <c r="M552" s="164"/>
      <c r="N552" s="168">
        <f ca="1">IFERROR(__xludf.DUMMYFUNCTION("IMPORTRANGE(""https://docs.google.com/spreadsheets/d/11923uPwbBZFjjGgGUA6NLw09EwE0CqkOc4q9oUmW1yo/edit?usp=sharing"",""สุโขทัย!M447"")"),0)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IFERROR(__xludf.DUMMYFUNCTION("IMPORTRANGE(""https://docs.google.com/spreadsheets/d/11923uPwbBZFjjGgGUA6NLw09EwE0CqkOc4q9oUmW1yo/edit?usp=sharing"",""สุโขทัย!L448"")"),0)</f>
        <v>0</v>
      </c>
      <c r="M553" s="165"/>
      <c r="N553" s="168">
        <f ca="1">IFERROR(__xludf.DUMMYFUNCTION("IMPORTRANGE(""https://docs.google.com/spreadsheets/d/11923uPwbBZFjjGgGUA6NLw09EwE0CqkOc4q9oUmW1yo/edit?usp=sharing"",""สุโขทัย!M448"")"),0)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IFERROR(__xludf.DUMMYFUNCTION("IMPORTRANGE(""https://docs.google.com/spreadsheets/d/11923uPwbBZFjjGgGUA6NLw09EwE0CqkOc4q9oUmW1yo/edit?usp=sharing"",""สุโขทัย!L449"")"),0)</f>
        <v>0</v>
      </c>
      <c r="M554" s="168"/>
      <c r="N554" s="168">
        <f ca="1">IFERROR(__xludf.DUMMYFUNCTION("IMPORTRANGE(""https://docs.google.com/spreadsheets/d/11923uPwbBZFjjGgGUA6NLw09EwE0CqkOc4q9oUmW1yo/edit?usp=sharing"",""สุโขทัย!M449"")"),0)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IFERROR(__xludf.DUMMYFUNCTION("IMPORTRANGE(""https://docs.google.com/spreadsheets/d/11923uPwbBZFjjGgGUA6NLw09EwE0CqkOc4q9oUmW1yo/edit?usp=sharing"",""สุโขทัย!L450"")"),0)</f>
        <v>0</v>
      </c>
      <c r="M555" s="168"/>
      <c r="N555" s="168">
        <f ca="1">IFERROR(__xludf.DUMMYFUNCTION("IMPORTRANGE(""https://docs.google.com/spreadsheets/d/11923uPwbBZFjjGgGUA6NLw09EwE0CqkOc4q9oUmW1yo/edit?usp=sharing"",""สุโขทัย!M450"")"),0)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IFERROR(__xludf.DUMMYFUNCTION("IMPORTRANGE(""https://docs.google.com/spreadsheets/d/11923uPwbBZFjjGgGUA6NLw09EwE0CqkOc4q9oUmW1yo/edit?usp=sharing"",""สุโขทัย!M451"")"),0)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IFERROR(__xludf.DUMMYFUNCTION("IMPORTRANGE(""https://docs.google.com/spreadsheets/d/11923uPwbBZFjjGgGUA6NLw09EwE0CqkOc4q9oUmW1yo/edit?usp=sharing"",""สุโขทัย!M452"")"),0)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IFERROR(__xludf.DUMMYFUNCTION("IMPORTRANGE(""https://docs.google.com/spreadsheets/d/11923uPwbBZFjjGgGUA6NLw09EwE0CqkOc4q9oUmW1yo/edit?usp=sharing"",""สุโขทัย!M453"")"),0)</f>
        <v>0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IFERROR(__xludf.DUMMYFUNCTION("IMPORTRANGE(""https://docs.google.com/spreadsheets/d/11923uPwbBZFjjGgGUA6NLw09EwE0CqkOc4q9oUmW1yo/edit?usp=sharing"",""สุโขทัย!M454"")"),0)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IFERROR(__xludf.DUMMYFUNCTION("IMPORTRANGE(""https://docs.google.com/spreadsheets/d/11923uPwbBZFjjGgGUA6NLw09EwE0CqkOc4q9oUmW1yo/edit?usp=sharing"",""สุโขทัย!I455"")"),0)</f>
        <v>0</v>
      </c>
      <c r="J560" s="162">
        <f ca="1">IFERROR(__xludf.DUMMYFUNCTION("IMPORTRANGE(""https://docs.google.com/spreadsheets/d/11923uPwbBZFjjGgGUA6NLw09EwE0CqkOc4q9oUmW1yo/edit?usp=sharing"",""สุโขทัย!J455"")"),0)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IFERROR(__xludf.DUMMYFUNCTION("IMPORTRANGE(""https://docs.google.com/spreadsheets/d/11923uPwbBZFjjGgGUA6NLw09EwE0CqkOc4q9oUmW1yo/edit?usp=sharing"",""สุโขทัย!I456"")"),0)</f>
        <v>0</v>
      </c>
      <c r="J561" s="203">
        <f ca="1">IFERROR(__xludf.DUMMYFUNCTION("IMPORTRANGE(""https://docs.google.com/spreadsheets/d/11923uPwbBZFjjGgGUA6NLw09EwE0CqkOc4q9oUmW1yo/edit?usp=sharing"",""สุโขทัย!J456"")"),0)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f ca="1">IFERROR(__xludf.DUMMYFUNCTION("IMPORTRANGE(""https://docs.google.com/spreadsheets/d/11923uPwbBZFjjGgGUA6NLw09EwE0CqkOc4q9oUmW1yo/edit?usp=sharing"",""สุโขทัย!I457"")"),0)</f>
        <v>0</v>
      </c>
      <c r="J562" s="203" t="str">
        <f ca="1">IFERROR(__xludf.DUMMYFUNCTION("IMPORTRANGE(""https://docs.google.com/spreadsheets/d/11923uPwbBZFjjGgGUA6NLw09EwE0CqkOc4q9oUmW1yo/edit?usp=sharing"",""สุโขทัย!J457"")"),"")</f>
        <v/>
      </c>
      <c r="K562" s="163">
        <f t="shared" ca="1" si="121"/>
        <v>0</v>
      </c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f ca="1">IFERROR(__xludf.DUMMYFUNCTION("IMPORTRANGE(""https://docs.google.com/spreadsheets/d/11923uPwbBZFjjGgGUA6NLw09EwE0CqkOc4q9oUmW1yo/edit?usp=sharing"",""สุโขทัย!I458"")"),0)</f>
        <v>0</v>
      </c>
      <c r="J563" s="187" t="str">
        <f ca="1">IFERROR(__xludf.DUMMYFUNCTION("IMPORTRANGE(""https://docs.google.com/spreadsheets/d/11923uPwbBZFjjGgGUA6NLw09EwE0CqkOc4q9oUmW1yo/edit?usp=sharing"",""สุโขทัย!J458"")"),"")</f>
        <v/>
      </c>
      <c r="K563" s="163">
        <f t="shared" ca="1" si="121"/>
        <v>0</v>
      </c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IFERROR(__xludf.DUMMYFUNCTION("IMPORTRANGE(""https://docs.google.com/spreadsheets/d/11923uPwbBZFjjGgGUA6NLw09EwE0CqkOc4q9oUmW1yo/edit?usp=sharing"",""สุโขทัย!I459"")"),2100)</f>
        <v>2100</v>
      </c>
      <c r="J564" s="369">
        <f ca="1">IFERROR(__xludf.DUMMYFUNCTION("IMPORTRANGE(""https://docs.google.com/spreadsheets/d/11923uPwbBZFjjGgGUA6NLw09EwE0CqkOc4q9oUmW1yo/edit?usp=sharing"",""สุโขทัย!J459"")"),3501)</f>
        <v>3501</v>
      </c>
      <c r="K564" s="370">
        <f t="shared" ca="1" si="121"/>
        <v>166.71428571428572</v>
      </c>
      <c r="L564" s="371">
        <f ca="1">IFERROR(__xludf.DUMMYFUNCTION("IMPORTRANGE(""https://docs.google.com/spreadsheets/d/11923uPwbBZFjjGgGUA6NLw09EwE0CqkOc4q9oUmW1yo/edit?usp=sharing"",""สุโขทัย!L459"")"),142240)</f>
        <v>142240</v>
      </c>
      <c r="M564" s="371"/>
      <c r="N564" s="371">
        <f ca="1">IFERROR(__xludf.DUMMYFUNCTION("IMPORTRANGE(""https://docs.google.com/spreadsheets/d/11923uPwbBZFjjGgGUA6NLw09EwE0CqkOc4q9oUmW1yo/edit?usp=sharing"",""สุโขทัย!M459"")"),9935.48)</f>
        <v>9935.48</v>
      </c>
      <c r="O564" s="371">
        <f t="shared" ref="O564:O568" ca="1" si="122">+IF(L564&gt;0,N564*100/L564,0)</f>
        <v>6.985011248593926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IFERROR(__xludf.DUMMYFUNCTION("IMPORTRANGE(""https://docs.google.com/spreadsheets/d/11923uPwbBZFjjGgGUA6NLw09EwE0CqkOc4q9oUmW1yo/edit?usp=sharing"",""สุโขทัย!L460"")"),0)</f>
        <v>0</v>
      </c>
      <c r="M565" s="164"/>
      <c r="N565" s="168">
        <f ca="1">IFERROR(__xludf.DUMMYFUNCTION("IMPORTRANGE(""https://docs.google.com/spreadsheets/d/11923uPwbBZFjjGgGUA6NLw09EwE0CqkOc4q9oUmW1yo/edit?usp=sharing"",""สุโขทัย!M460"")"),0)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IFERROR(__xludf.DUMMYFUNCTION("IMPORTRANGE(""https://docs.google.com/spreadsheets/d/11923uPwbBZFjjGgGUA6NLw09EwE0CqkOc4q9oUmW1yo/edit?usp=sharing"",""สุโขทัย!L461"")"),142240)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IFERROR(__xludf.DUMMYFUNCTION("IMPORTRANGE(""https://docs.google.com/spreadsheets/d/11923uPwbBZFjjGgGUA6NLw09EwE0CqkOc4q9oUmW1yo/edit?usp=sharing"",""สุโขทัย!M461"")"),9935.48)</f>
        <v>9935.48</v>
      </c>
      <c r="O566" s="168">
        <f t="shared" ca="1" si="122"/>
        <v>6.985011248593926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IFERROR(__xludf.DUMMYFUNCTION("IMPORTRANGE(""https://docs.google.com/spreadsheets/d/11923uPwbBZFjjGgGUA6NLw09EwE0CqkOc4q9oUmW1yo/edit?usp=sharing"",""สุโขทัย!L462"")"),0)</f>
        <v>0</v>
      </c>
      <c r="M567" s="168"/>
      <c r="N567" s="168">
        <f ca="1">IFERROR(__xludf.DUMMYFUNCTION("IMPORTRANGE(""https://docs.google.com/spreadsheets/d/11923uPwbBZFjjGgGUA6NLw09EwE0CqkOc4q9oUmW1yo/edit?usp=sharing"",""สุโขทัย!M462"")"),0)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IFERROR(__xludf.DUMMYFUNCTION("IMPORTRANGE(""https://docs.google.com/spreadsheets/d/11923uPwbBZFjjGgGUA6NLw09EwE0CqkOc4q9oUmW1yo/edit?usp=sharing"",""สุโขทัย!L463"")"),142240)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IFERROR(__xludf.DUMMYFUNCTION("IMPORTRANGE(""https://docs.google.com/spreadsheets/d/11923uPwbBZFjjGgGUA6NLw09EwE0CqkOc4q9oUmW1yo/edit?usp=sharing"",""สุโขทัย!M463"")"),9935.48)</f>
        <v>9935.48</v>
      </c>
      <c r="O568" s="168">
        <f t="shared" ca="1" si="122"/>
        <v>6.985011248593926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IFERROR(__xludf.DUMMYFUNCTION("IMPORTRANGE(""https://docs.google.com/spreadsheets/d/11923uPwbBZFjjGgGUA6NLw09EwE0CqkOc4q9oUmW1yo/edit?usp=sharing"",""สุโขทัย!M464"")"),0)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IFERROR(__xludf.DUMMYFUNCTION("IMPORTRANGE(""https://docs.google.com/spreadsheets/d/11923uPwbBZFjjGgGUA6NLw09EwE0CqkOc4q9oUmW1yo/edit?usp=sharing"",""สุโขทัย!M465"")"),0)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IFERROR(__xludf.DUMMYFUNCTION("IMPORTRANGE(""https://docs.google.com/spreadsheets/d/11923uPwbBZFjjGgGUA6NLw09EwE0CqkOc4q9oUmW1yo/edit?usp=sharing"",""สุโขทัย!M466"")"),9935.48)</f>
        <v>9935.48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IFERROR(__xludf.DUMMYFUNCTION("IMPORTRANGE(""https://docs.google.com/spreadsheets/d/11923uPwbBZFjjGgGUA6NLw09EwE0CqkOc4q9oUmW1yo/edit?usp=sharing"",""สุโขทัย!M467"")"),0)</f>
        <v>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IFERROR(__xludf.DUMMYFUNCTION("IMPORTRANGE(""https://docs.google.com/spreadsheets/d/11923uPwbBZFjjGgGUA6NLw09EwE0CqkOc4q9oUmW1yo/edit?usp=sharing"",""สุโขทัย!I468"")"),2100)</f>
        <v>2100</v>
      </c>
      <c r="J573" s="418">
        <f ca="1">IFERROR(__xludf.DUMMYFUNCTION("IMPORTRANGE(""https://docs.google.com/spreadsheets/d/11923uPwbBZFjjGgGUA6NLw09EwE0CqkOc4q9oUmW1yo/edit?usp=sharing"",""สุโขทัย!J468"")"),3501)</f>
        <v>3501</v>
      </c>
      <c r="K573" s="201">
        <f ca="1">IF(I573&gt;0,J573*100/I573,0)</f>
        <v>166.71428571428572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IFERROR(__xludf.DUMMYFUNCTION("IMPORTRANGE(""https://docs.google.com/spreadsheets/d/11923uPwbBZFjjGgGUA6NLw09EwE0CqkOc4q9oUmW1yo/edit?usp=sharing"",""สุโขทัย!I470"")"),0)</f>
        <v>0</v>
      </c>
      <c r="J575" s="197">
        <f ca="1">IFERROR(__xludf.DUMMYFUNCTION("IMPORTRANGE(""https://docs.google.com/spreadsheets/d/11923uPwbBZFjjGgGUA6NLw09EwE0CqkOc4q9oUmW1yo/edit?usp=sharing"",""สุโขทัย!J470"")"),4)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IFERROR(__xludf.DUMMYFUNCTION("IMPORTRANGE(""https://docs.google.com/spreadsheets/d/11923uPwbBZFjjGgGUA6NLw09EwE0CqkOc4q9oUmW1yo/edit?usp=sharing"",""สุโขทัย!I471"")"),0)</f>
        <v>0</v>
      </c>
      <c r="J576" s="197">
        <f ca="1">IFERROR(__xludf.DUMMYFUNCTION("IMPORTRANGE(""https://docs.google.com/spreadsheets/d/11923uPwbBZFjjGgGUA6NLw09EwE0CqkOc4q9oUmW1yo/edit?usp=sharing"",""สุโขทัย!J471"")"),174)</f>
        <v>174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IFERROR(__xludf.DUMMYFUNCTION("IMPORTRANGE(""https://docs.google.com/spreadsheets/d/11923uPwbBZFjjGgGUA6NLw09EwE0CqkOc4q9oUmW1yo/edit?usp=sharing"",""สุโขทัย!I472"")"),0)</f>
        <v>0</v>
      </c>
      <c r="J577" s="188">
        <f ca="1">IFERROR(__xludf.DUMMYFUNCTION("IMPORTRANGE(""https://docs.google.com/spreadsheets/d/11923uPwbBZFjjGgGUA6NLw09EwE0CqkOc4q9oUmW1yo/edit?usp=sharing"",""สุโขทัย!J472"")"),3327)</f>
        <v>3327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IFERROR(__xludf.DUMMYFUNCTION("IMPORTRANGE(""https://docs.google.com/spreadsheets/d/11923uPwbBZFjjGgGUA6NLw09EwE0CqkOc4q9oUmW1yo/edit?usp=sharing"",""สุโขทัย!I473"")"),0)</f>
        <v>0</v>
      </c>
      <c r="J578" s="197">
        <f ca="1">IFERROR(__xludf.DUMMYFUNCTION("IMPORTRANGE(""https://docs.google.com/spreadsheets/d/11923uPwbBZFjjGgGUA6NLw09EwE0CqkOc4q9oUmW1yo/edit?usp=sharing"",""สุโขทัย!J473"")"),0)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IFERROR(__xludf.DUMMYFUNCTION("IMPORTRANGE(""https://docs.google.com/spreadsheets/d/11923uPwbBZFjjGgGUA6NLw09EwE0CqkOc4q9oUmW1yo/edit?usp=sharing"",""สุโขทัย!I474"")"),0)</f>
        <v>0</v>
      </c>
      <c r="J579" s="197">
        <f ca="1">IFERROR(__xludf.DUMMYFUNCTION("IMPORTRANGE(""https://docs.google.com/spreadsheets/d/11923uPwbBZFjjGgGUA6NLw09EwE0CqkOc4q9oUmW1yo/edit?usp=sharing"",""สุโขทัย!J474"")"),0)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IFERROR(__xludf.DUMMYFUNCTION("IMPORTRANGE(""https://docs.google.com/spreadsheets/d/11923uPwbBZFjjGgGUA6NLw09EwE0CqkOc4q9oUmW1yo/edit?usp=sharing"",""สุโขทัย!I475"")"),90)</f>
        <v>90</v>
      </c>
      <c r="J580" s="369">
        <f ca="1">IFERROR(__xludf.DUMMYFUNCTION("IMPORTRANGE(""https://docs.google.com/spreadsheets/d/11923uPwbBZFjjGgGUA6NLw09EwE0CqkOc4q9oUmW1yo/edit?usp=sharing"",""สุโขทัย!J475"")"),0)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IFERROR(__xludf.DUMMYFUNCTION("IMPORTRANGE(""https://docs.google.com/spreadsheets/d/11923uPwbBZFjjGgGUA6NLw09EwE0CqkOc4q9oUmW1yo/edit?usp=sharing"",""สุโขทัย!L475"")"),296190)</f>
        <v>296190</v>
      </c>
      <c r="M580" s="371"/>
      <c r="N580" s="371">
        <f ca="1">IFERROR(__xludf.DUMMYFUNCTION("IMPORTRANGE(""https://docs.google.com/spreadsheets/d/11923uPwbBZFjjGgGUA6NLw09EwE0CqkOc4q9oUmW1yo/edit?usp=sharing"",""สุโขทัย!M475"")"),0)</f>
        <v>0</v>
      </c>
      <c r="O580" s="371">
        <f t="shared" ref="O580:O584" ca="1" si="124">+IF(L580&gt;0,N580*100/L580,0)</f>
        <v>0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IFERROR(__xludf.DUMMYFUNCTION("IMPORTRANGE(""https://docs.google.com/spreadsheets/d/11923uPwbBZFjjGgGUA6NLw09EwE0CqkOc4q9oUmW1yo/edit?usp=sharing"",""สุโขทัย!L476"")"),0)</f>
        <v>0</v>
      </c>
      <c r="M581" s="164"/>
      <c r="N581" s="168">
        <f ca="1">IFERROR(__xludf.DUMMYFUNCTION("IMPORTRANGE(""https://docs.google.com/spreadsheets/d/11923uPwbBZFjjGgGUA6NLw09EwE0CqkOc4q9oUmW1yo/edit?usp=sharing"",""สุโขทัย!M476"")"),0)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IFERROR(__xludf.DUMMYFUNCTION("IMPORTRANGE(""https://docs.google.com/spreadsheets/d/11923uPwbBZFjjGgGUA6NLw09EwE0CqkOc4q9oUmW1yo/edit?usp=sharing"",""สุโขทัย!L477"")"),296190)</f>
        <v>296190</v>
      </c>
      <c r="M582" s="165"/>
      <c r="N582" s="168">
        <f ca="1">IFERROR(__xludf.DUMMYFUNCTION("IMPORTRANGE(""https://docs.google.com/spreadsheets/d/11923uPwbBZFjjGgGUA6NLw09EwE0CqkOc4q9oUmW1yo/edit?usp=sharing"",""สุโขทัย!M477"")"),0)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IFERROR(__xludf.DUMMYFUNCTION("IMPORTRANGE(""https://docs.google.com/spreadsheets/d/11923uPwbBZFjjGgGUA6NLw09EwE0CqkOc4q9oUmW1yo/edit?usp=sharing"",""สุโขทัย!L478"")"),0)</f>
        <v>0</v>
      </c>
      <c r="M583" s="168"/>
      <c r="N583" s="168">
        <f ca="1">IFERROR(__xludf.DUMMYFUNCTION("IMPORTRANGE(""https://docs.google.com/spreadsheets/d/11923uPwbBZFjjGgGUA6NLw09EwE0CqkOc4q9oUmW1yo/edit?usp=sharing"",""สุโขทัย!M478"")"),0)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IFERROR(__xludf.DUMMYFUNCTION("IMPORTRANGE(""https://docs.google.com/spreadsheets/d/11923uPwbBZFjjGgGUA6NLw09EwE0CqkOc4q9oUmW1yo/edit?usp=sharing"",""สุโขทัย!L479"")"),296190)</f>
        <v>296190</v>
      </c>
      <c r="M584" s="168"/>
      <c r="N584" s="168">
        <f ca="1">IFERROR(__xludf.DUMMYFUNCTION("IMPORTRANGE(""https://docs.google.com/spreadsheets/d/11923uPwbBZFjjGgGUA6NLw09EwE0CqkOc4q9oUmW1yo/edit?usp=sharing"",""สุโขทัย!M479"")"),0)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IFERROR(__xludf.DUMMYFUNCTION("IMPORTRANGE(""https://docs.google.com/spreadsheets/d/11923uPwbBZFjjGgGUA6NLw09EwE0CqkOc4q9oUmW1yo/edit?usp=sharing"",""สุโขทัย!M480"")"),0)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IFERROR(__xludf.DUMMYFUNCTION("IMPORTRANGE(""https://docs.google.com/spreadsheets/d/11923uPwbBZFjjGgGUA6NLw09EwE0CqkOc4q9oUmW1yo/edit?usp=sharing"",""สุโขทัย!M481"")"),0)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IFERROR(__xludf.DUMMYFUNCTION("IMPORTRANGE(""https://docs.google.com/spreadsheets/d/11923uPwbBZFjjGgGUA6NLw09EwE0CqkOc4q9oUmW1yo/edit?usp=sharing"",""สุโขทัย!M482"")"),0)</f>
        <v>0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IFERROR(__xludf.DUMMYFUNCTION("IMPORTRANGE(""https://docs.google.com/spreadsheets/d/11923uPwbBZFjjGgGUA6NLw09EwE0CqkOc4q9oUmW1yo/edit?usp=sharing"",""สุโขทัย!M483"")"),0)</f>
        <v>0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IFERROR(__xludf.DUMMYFUNCTION("IMPORTRANGE(""https://docs.google.com/spreadsheets/d/11923uPwbBZFjjGgGUA6NLw09EwE0CqkOc4q9oUmW1yo/edit?usp=sharing"",""สุโขทัย!I484"")"),90)</f>
        <v>90</v>
      </c>
      <c r="J589" s="187">
        <f ca="1">IFERROR(__xludf.DUMMYFUNCTION("IMPORTRANGE(""https://docs.google.com/spreadsheets/d/11923uPwbBZFjjGgGUA6NLw09EwE0CqkOc4q9oUmW1yo/edit?usp=sharing"",""สุโขทัย!J484"")"),0)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IFERROR(__xludf.DUMMYFUNCTION("IMPORTRANGE(""https://docs.google.com/spreadsheets/d/11923uPwbBZFjjGgGUA6NLw09EwE0CqkOc4q9oUmW1yo/edit?usp=sharing"",""สุโขทัย!I485"")"),0)</f>
        <v>0</v>
      </c>
      <c r="J590" s="187">
        <f ca="1">IFERROR(__xludf.DUMMYFUNCTION("IMPORTRANGE(""https://docs.google.com/spreadsheets/d/11923uPwbBZFjjGgGUA6NLw09EwE0CqkOc4q9oUmW1yo/edit?usp=sharing"",""สุโขทัย!J485"")"),0)</f>
        <v>0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IFERROR(__xludf.DUMMYFUNCTION("IMPORTRANGE(""https://docs.google.com/spreadsheets/d/11923uPwbBZFjjGgGUA6NLw09EwE0CqkOc4q9oUmW1yo/edit?usp=sharing"",""สุโขทัย!I486"")"),90)</f>
        <v>90</v>
      </c>
      <c r="J591" s="187">
        <f ca="1">IFERROR(__xludf.DUMMYFUNCTION("IMPORTRANGE(""https://docs.google.com/spreadsheets/d/11923uPwbBZFjjGgGUA6NLw09EwE0CqkOc4q9oUmW1yo/edit?usp=sharing"",""สุโขทัย!J486"")"),41)</f>
        <v>41</v>
      </c>
      <c r="K591" s="163">
        <f t="shared" ca="1" si="125"/>
        <v>45.555555555555557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IFERROR(__xludf.DUMMYFUNCTION("IMPORTRANGE(""https://docs.google.com/spreadsheets/d/11923uPwbBZFjjGgGUA6NLw09EwE0CqkOc4q9oUmW1yo/edit?usp=sharing"",""สุโขทัย!I487"")"),0)</f>
        <v>0</v>
      </c>
      <c r="J592" s="187">
        <f ca="1">IFERROR(__xludf.DUMMYFUNCTION("IMPORTRANGE(""https://docs.google.com/spreadsheets/d/11923uPwbBZFjjGgGUA6NLw09EwE0CqkOc4q9oUmW1yo/edit?usp=sharing"",""สุโขทัย!J487"")"),41.4)</f>
        <v>41.4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IFERROR(__xludf.DUMMYFUNCTION("IMPORTRANGE(""https://docs.google.com/spreadsheets/d/11923uPwbBZFjjGgGUA6NLw09EwE0CqkOc4q9oUmW1yo/edit?usp=sharing"",""สุโขทัย!I488"")"),90)</f>
        <v>90</v>
      </c>
      <c r="J593" s="187">
        <f ca="1">IFERROR(__xludf.DUMMYFUNCTION("IMPORTRANGE(""https://docs.google.com/spreadsheets/d/11923uPwbBZFjjGgGUA6NLw09EwE0CqkOc4q9oUmW1yo/edit?usp=sharing"",""สุโขทัย!J488"")"),0)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IFERROR(__xludf.DUMMYFUNCTION("IMPORTRANGE(""https://docs.google.com/spreadsheets/d/11923uPwbBZFjjGgGUA6NLw09EwE0CqkOc4q9oUmW1yo/edit?usp=sharing"",""สุโขทัย!I489"")"),0)</f>
        <v>0</v>
      </c>
      <c r="J594" s="187">
        <f ca="1">IFERROR(__xludf.DUMMYFUNCTION("IMPORTRANGE(""https://docs.google.com/spreadsheets/d/11923uPwbBZFjjGgGUA6NLw09EwE0CqkOc4q9oUmW1yo/edit?usp=sharing"",""สุโขทัย!J489"")"),0)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IFERROR(__xludf.DUMMYFUNCTION("IMPORTRANGE(""https://docs.google.com/spreadsheets/d/11923uPwbBZFjjGgGUA6NLw09EwE0CqkOc4q9oUmW1yo/edit?usp=sharing"",""สุโขทัย!I490"")"),90)</f>
        <v>90</v>
      </c>
      <c r="J595" s="187">
        <f ca="1">IFERROR(__xludf.DUMMYFUNCTION("IMPORTRANGE(""https://docs.google.com/spreadsheets/d/11923uPwbBZFjjGgGUA6NLw09EwE0CqkOc4q9oUmW1yo/edit?usp=sharing"",""สุโขทัย!J490"")"),0)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IFERROR(__xludf.DUMMYFUNCTION("IMPORTRANGE(""https://docs.google.com/spreadsheets/d/11923uPwbBZFjjGgGUA6NLw09EwE0CqkOc4q9oUmW1yo/edit?usp=sharing"",""สุโขทัย!I491"")"),0)</f>
        <v>0</v>
      </c>
      <c r="J596" s="240">
        <f ca="1">IFERROR(__xludf.DUMMYFUNCTION("IMPORTRANGE(""https://docs.google.com/spreadsheets/d/11923uPwbBZFjjGgGUA6NLw09EwE0CqkOc4q9oUmW1yo/edit?usp=sharing"",""สุโขทัย!J491"")"),0)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IFERROR(__xludf.DUMMYFUNCTION("IMPORTRANGE(""https://docs.google.com/spreadsheets/d/11923uPwbBZFjjGgGUA6NLw09EwE0CqkOc4q9oUmW1yo/edit?usp=sharing"",""สุโขทัย!I492"")"),100)</f>
        <v>100</v>
      </c>
      <c r="J597" s="485">
        <f ca="1">IFERROR(__xludf.DUMMYFUNCTION("IMPORTRANGE(""https://docs.google.com/spreadsheets/d/11923uPwbBZFjjGgGUA6NLw09EwE0CqkOc4q9oUmW1yo/edit?usp=sharing"",""สุโขทัย!J492"")"),0)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IFERROR(__xludf.DUMMYFUNCTION("IMPORTRANGE(""https://docs.google.com/spreadsheets/d/11923uPwbBZFjjGgGUA6NLw09EwE0CqkOc4q9oUmW1yo/edit?usp=sharing"",""สุโขทัย!L492"")"),7300)</f>
        <v>7300</v>
      </c>
      <c r="M597" s="410"/>
      <c r="N597" s="410">
        <f ca="1">IFERROR(__xludf.DUMMYFUNCTION("IMPORTRANGE(""https://docs.google.com/spreadsheets/d/11923uPwbBZFjjGgGUA6NLw09EwE0CqkOc4q9oUmW1yo/edit?usp=sharing"",""สุโขทัย!M492"")"),0)</f>
        <v>0</v>
      </c>
      <c r="O597" s="410">
        <f t="shared" ref="O597:O601" ca="1" si="126">+IF(L597&gt;0,N597*100/L597,0)</f>
        <v>0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IFERROR(__xludf.DUMMYFUNCTION("IMPORTRANGE(""https://docs.google.com/spreadsheets/d/11923uPwbBZFjjGgGUA6NLw09EwE0CqkOc4q9oUmW1yo/edit?usp=sharing"",""สุโขทัย!L493"")"),0)</f>
        <v>0</v>
      </c>
      <c r="M598" s="164"/>
      <c r="N598" s="168">
        <f ca="1">IFERROR(__xludf.DUMMYFUNCTION("IMPORTRANGE(""https://docs.google.com/spreadsheets/d/11923uPwbBZFjjGgGUA6NLw09EwE0CqkOc4q9oUmW1yo/edit?usp=sharing"",""สุโขทัย!M493"")"),0)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IFERROR(__xludf.DUMMYFUNCTION("IMPORTRANGE(""https://docs.google.com/spreadsheets/d/11923uPwbBZFjjGgGUA6NLw09EwE0CqkOc4q9oUmW1yo/edit?usp=sharing"",""สุโขทัย!L494"")"),7300)</f>
        <v>7300</v>
      </c>
      <c r="M599" s="165"/>
      <c r="N599" s="168">
        <f ca="1">IFERROR(__xludf.DUMMYFUNCTION("IMPORTRANGE(""https://docs.google.com/spreadsheets/d/11923uPwbBZFjjGgGUA6NLw09EwE0CqkOc4q9oUmW1yo/edit?usp=sharing"",""สุโขทัย!M494"")"),0)</f>
        <v>0</v>
      </c>
      <c r="O599" s="168">
        <f t="shared" ca="1" si="126"/>
        <v>0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IFERROR(__xludf.DUMMYFUNCTION("IMPORTRANGE(""https://docs.google.com/spreadsheets/d/11923uPwbBZFjjGgGUA6NLw09EwE0CqkOc4q9oUmW1yo/edit?usp=sharing"",""สุโขทัย!L495"")"),0)</f>
        <v>0</v>
      </c>
      <c r="M600" s="168"/>
      <c r="N600" s="168">
        <f ca="1">IFERROR(__xludf.DUMMYFUNCTION("IMPORTRANGE(""https://docs.google.com/spreadsheets/d/11923uPwbBZFjjGgGUA6NLw09EwE0CqkOc4q9oUmW1yo/edit?usp=sharing"",""สุโขทัย!M495"")"),0)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IFERROR(__xludf.DUMMYFUNCTION("IMPORTRANGE(""https://docs.google.com/spreadsheets/d/11923uPwbBZFjjGgGUA6NLw09EwE0CqkOc4q9oUmW1yo/edit?usp=sharing"",""สุโขทัย!L496"")"),7300)</f>
        <v>7300</v>
      </c>
      <c r="M601" s="168"/>
      <c r="N601" s="168">
        <f ca="1">IFERROR(__xludf.DUMMYFUNCTION("IMPORTRANGE(""https://docs.google.com/spreadsheets/d/11923uPwbBZFjjGgGUA6NLw09EwE0CqkOc4q9oUmW1yo/edit?usp=sharing"",""สุโขทัย!M496"")"),0)</f>
        <v>0</v>
      </c>
      <c r="O601" s="168">
        <f t="shared" ca="1" si="126"/>
        <v>0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IFERROR(__xludf.DUMMYFUNCTION("IMPORTRANGE(""https://docs.google.com/spreadsheets/d/11923uPwbBZFjjGgGUA6NLw09EwE0CqkOc4q9oUmW1yo/edit?usp=sharing"",""สุโขทัย!M497"")"),0)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IFERROR(__xludf.DUMMYFUNCTION("IMPORTRANGE(""https://docs.google.com/spreadsheets/d/11923uPwbBZFjjGgGUA6NLw09EwE0CqkOc4q9oUmW1yo/edit?usp=sharing"",""สุโขทัย!M498"")"),0)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IFERROR(__xludf.DUMMYFUNCTION("IMPORTRANGE(""https://docs.google.com/spreadsheets/d/11923uPwbBZFjjGgGUA6NLw09EwE0CqkOc4q9oUmW1yo/edit?usp=sharing"",""สุโขทัย!M499"")"),0)</f>
        <v>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IFERROR(__xludf.DUMMYFUNCTION("IMPORTRANGE(""https://docs.google.com/spreadsheets/d/11923uPwbBZFjjGgGUA6NLw09EwE0CqkOc4q9oUmW1yo/edit?usp=sharing"",""สุโขทัย!M500"")"),0)</f>
        <v>0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IFERROR(__xludf.DUMMYFUNCTION("IMPORTRANGE(""https://docs.google.com/spreadsheets/d/11923uPwbBZFjjGgGUA6NLw09EwE0CqkOc4q9oUmW1yo/edit?usp=sharing"",""สุโขทัย!J502"")"),0)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IFERROR(__xludf.DUMMYFUNCTION("IMPORTRANGE(""https://docs.google.com/spreadsheets/d/11923uPwbBZFjjGgGUA6NLw09EwE0CqkOc4q9oUmW1yo/edit?usp=sharing"",""สุโขทัย!J503"")"),1)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IFERROR(__xludf.DUMMYFUNCTION("IMPORTRANGE(""https://docs.google.com/spreadsheets/d/11923uPwbBZFjjGgGUA6NLw09EwE0CqkOc4q9oUmW1yo/edit?usp=sharing"",""สุโขทัย!J166"")"),0)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IFERROR(__xludf.DUMMYFUNCTION("IMPORTRANGE(""https://docs.google.com/spreadsheets/d/11923uPwbBZFjjGgGUA6NLw09EwE0CqkOc4q9oUmW1yo/edit?usp=sharing"",""สุโขทัย!J166"")"),0)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IFERROR(__xludf.DUMMYFUNCTION("IMPORTRANGE(""https://docs.google.com/spreadsheets/d/11923uPwbBZFjjGgGUA6NLw09EwE0CqkOc4q9oUmW1yo/edit?usp=sharing"",""สุโขทัย!I506"")"),100)</f>
        <v>100</v>
      </c>
      <c r="J611" s="162">
        <f ca="1">IFERROR(__xludf.DUMMYFUNCTION("IMPORTRANGE(""https://docs.google.com/spreadsheets/d/11923uPwbBZFjjGgGUA6NLw09EwE0CqkOc4q9oUmW1yo/edit?usp=sharing"",""สุโขทัย!J506"")"),0)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IFERROR(__xludf.DUMMYFUNCTION("IMPORTRANGE(""https://docs.google.com/spreadsheets/d/11923uPwbBZFjjGgGUA6NLw09EwE0CqkOc4q9oUmW1yo/edit?usp=sharing"",""สุโขทัย!I507"")"),0)</f>
        <v>0</v>
      </c>
      <c r="J612" s="197">
        <f ca="1">IFERROR(__xludf.DUMMYFUNCTION("IMPORTRANGE(""https://docs.google.com/spreadsheets/d/11923uPwbBZFjjGgGUA6NLw09EwE0CqkOc4q9oUmW1yo/edit?usp=sharing"",""สุโขทัย!J507"")"),0)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IFERROR(__xludf.DUMMYFUNCTION("IMPORTRANGE(""https://docs.google.com/spreadsheets/d/11923uPwbBZFjjGgGUA6NLw09EwE0CqkOc4q9oUmW1yo/edit?usp=sharing"",""สุโขทัย!I508"")"),0)</f>
        <v>0</v>
      </c>
      <c r="J613" s="197">
        <f ca="1">IFERROR(__xludf.DUMMYFUNCTION("IMPORTRANGE(""https://docs.google.com/spreadsheets/d/11923uPwbBZFjjGgGUA6NLw09EwE0CqkOc4q9oUmW1yo/edit?usp=sharing"",""สุโขทัย!J508"")"),0)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IFERROR(__xludf.DUMMYFUNCTION("IMPORTRANGE(""https://docs.google.com/spreadsheets/d/11923uPwbBZFjjGgGUA6NLw09EwE0CqkOc4q9oUmW1yo/edit?usp=sharing"",""สุโขทัย!I509"")"),0)</f>
        <v>0</v>
      </c>
      <c r="J614" s="197">
        <f ca="1">IFERROR(__xludf.DUMMYFUNCTION("IMPORTRANGE(""https://docs.google.com/spreadsheets/d/11923uPwbBZFjjGgGUA6NLw09EwE0CqkOc4q9oUmW1yo/edit?usp=sharing"",""สุโขทัย!J509"")"),0)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IFERROR(__xludf.DUMMYFUNCTION("IMPORTRANGE(""https://docs.google.com/spreadsheets/d/11923uPwbBZFjjGgGUA6NLw09EwE0CqkOc4q9oUmW1yo/edit?usp=sharing"",""สุโขทัย!I510"")"),0)</f>
        <v>0</v>
      </c>
      <c r="J615" s="197">
        <f ca="1">IFERROR(__xludf.DUMMYFUNCTION("IMPORTRANGE(""https://docs.google.com/spreadsheets/d/11923uPwbBZFjjGgGUA6NLw09EwE0CqkOc4q9oUmW1yo/edit?usp=sharing"",""สุโขทัย!J510"")"),0)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IFERROR(__xludf.DUMMYFUNCTION("IMPORTRANGE(""https://docs.google.com/spreadsheets/d/11923uPwbBZFjjGgGUA6NLw09EwE0CqkOc4q9oUmW1yo/edit?usp=sharing"",""สุโขทัย!I511"")"),0)</f>
        <v>0</v>
      </c>
      <c r="J616" s="197">
        <f ca="1">IFERROR(__xludf.DUMMYFUNCTION("IMPORTRANGE(""https://docs.google.com/spreadsheets/d/11923uPwbBZFjjGgGUA6NLw09EwE0CqkOc4q9oUmW1yo/edit?usp=sharing"",""สุโขทัย!J511"")"),0)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IFERROR(__xludf.DUMMYFUNCTION("IMPORTRANGE(""https://docs.google.com/spreadsheets/d/11923uPwbBZFjjGgGUA6NLw09EwE0CqkOc4q9oUmW1yo/edit?usp=sharing"",""สุโขทัย!I512"")"),0)</f>
        <v>0</v>
      </c>
      <c r="J617" s="187">
        <f ca="1">IFERROR(__xludf.DUMMYFUNCTION("IMPORTRANGE(""https://docs.google.com/spreadsheets/d/11923uPwbBZFjjGgGUA6NLw09EwE0CqkOc4q9oUmW1yo/edit?usp=sharing"",""สุโขทัย!J512"")"),0)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IFERROR(__xludf.DUMMYFUNCTION("IMPORTRANGE(""https://docs.google.com/spreadsheets/d/11923uPwbBZFjjGgGUA6NLw09EwE0CqkOc4q9oUmW1yo/edit?usp=sharing"",""สุโขทัย!I513"")"),0)</f>
        <v>0</v>
      </c>
      <c r="J618" s="188">
        <f ca="1">IFERROR(__xludf.DUMMYFUNCTION("IMPORTRANGE(""https://docs.google.com/spreadsheets/d/11923uPwbBZFjjGgGUA6NLw09EwE0CqkOc4q9oUmW1yo/edit?usp=sharing"",""สุโขทัย!J513"")"),0)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IFERROR(__xludf.DUMMYFUNCTION("IMPORTRANGE(""https://docs.google.com/spreadsheets/d/11923uPwbBZFjjGgGUA6NLw09EwE0CqkOc4q9oUmW1yo/edit?usp=sharing"",""สุโขทัย!I514"")"),0)</f>
        <v>0</v>
      </c>
      <c r="J619" s="188">
        <f ca="1">IFERROR(__xludf.DUMMYFUNCTION("IMPORTRANGE(""https://docs.google.com/spreadsheets/d/11923uPwbBZFjjGgGUA6NLw09EwE0CqkOc4q9oUmW1yo/edit?usp=sharing"",""สุโขทัย!J514"")"),0)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IFERROR(__xludf.DUMMYFUNCTION("IMPORTRANGE(""https://docs.google.com/spreadsheets/d/11923uPwbBZFjjGgGUA6NLw09EwE0CqkOc4q9oUmW1yo/edit?usp=sharing"",""สุโขทัย!I515"")"),0)</f>
        <v>0</v>
      </c>
      <c r="J620" s="202">
        <f ca="1">IFERROR(__xludf.DUMMYFUNCTION("IMPORTRANGE(""https://docs.google.com/spreadsheets/d/11923uPwbBZFjjGgGUA6NLw09EwE0CqkOc4q9oUmW1yo/edit?usp=sharing"",""สุโขทัย!J515"")"),0)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IFERROR(__xludf.DUMMYFUNCTION("IMPORTRANGE(""https://docs.google.com/spreadsheets/d/11923uPwbBZFjjGgGUA6NLw09EwE0CqkOc4q9oUmW1yo/edit?usp=sharing"",""สุโขทัย!I516"")"),0)</f>
        <v>0</v>
      </c>
      <c r="J621" s="202">
        <f ca="1">IFERROR(__xludf.DUMMYFUNCTION("IMPORTRANGE(""https://docs.google.com/spreadsheets/d/11923uPwbBZFjjGgGUA6NLw09EwE0CqkOc4q9oUmW1yo/edit?usp=sharing"",""สุโขทัย!J516"")"),0)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IFERROR(__xludf.DUMMYFUNCTION("IMPORTRANGE(""https://docs.google.com/spreadsheets/d/11923uPwbBZFjjGgGUA6NLw09EwE0CqkOc4q9oUmW1yo/edit?usp=sharing"",""สุโขทัย!I517"")"),0)</f>
        <v>0</v>
      </c>
      <c r="J622" s="188">
        <f ca="1">IFERROR(__xludf.DUMMYFUNCTION("IMPORTRANGE(""https://docs.google.com/spreadsheets/d/11923uPwbBZFjjGgGUA6NLw09EwE0CqkOc4q9oUmW1yo/edit?usp=sharing"",""สุโขทัย!J517"")"),0)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IFERROR(__xludf.DUMMYFUNCTION("IMPORTRANGE(""https://docs.google.com/spreadsheets/d/11923uPwbBZFjjGgGUA6NLw09EwE0CqkOc4q9oUmW1yo/edit?usp=sharing"",""สุโขทัย!I518"")"),0)</f>
        <v>0</v>
      </c>
      <c r="J623" s="188">
        <f ca="1">IFERROR(__xludf.DUMMYFUNCTION("IMPORTRANGE(""https://docs.google.com/spreadsheets/d/11923uPwbBZFjjGgGUA6NLw09EwE0CqkOc4q9oUmW1yo/edit?usp=sharing"",""สุโขทัย!J518"")"),0)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IFERROR(__xludf.DUMMYFUNCTION("IMPORTRANGE(""https://docs.google.com/spreadsheets/d/11923uPwbBZFjjGgGUA6NLw09EwE0CqkOc4q9oUmW1yo/edit?usp=sharing"",""สุโขทัย!I519"")"),0)</f>
        <v>0</v>
      </c>
      <c r="J624" s="187">
        <f ca="1">IFERROR(__xludf.DUMMYFUNCTION("IMPORTRANGE(""https://docs.google.com/spreadsheets/d/11923uPwbBZFjjGgGUA6NLw09EwE0CqkOc4q9oUmW1yo/edit?usp=sharing"",""สุโขทัย!J519"")"),0)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IFERROR(__xludf.DUMMYFUNCTION("IMPORTRANGE(""https://docs.google.com/spreadsheets/d/11923uPwbBZFjjGgGUA6NLw09EwE0CqkOc4q9oUmW1yo/edit?usp=sharing"",""สุโขทัย!I520"")"),0)</f>
        <v>0</v>
      </c>
      <c r="J625" s="188">
        <f ca="1">IFERROR(__xludf.DUMMYFUNCTION("IMPORTRANGE(""https://docs.google.com/spreadsheets/d/11923uPwbBZFjjGgGUA6NLw09EwE0CqkOc4q9oUmW1yo/edit?usp=sharing"",""สุโขทัย!J520"")"),0)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IFERROR(__xludf.DUMMYFUNCTION("IMPORTRANGE(""https://docs.google.com/spreadsheets/d/11923uPwbBZFjjGgGUA6NLw09EwE0CqkOc4q9oUmW1yo/edit?usp=sharing"",""สุโขทัย!I521"")"),0)</f>
        <v>0</v>
      </c>
      <c r="J626" s="188">
        <f ca="1">IFERROR(__xludf.DUMMYFUNCTION("IMPORTRANGE(""https://docs.google.com/spreadsheets/d/11923uPwbBZFjjGgGUA6NLw09EwE0CqkOc4q9oUmW1yo/edit?usp=sharing"",""สุโขทัย!J521"")"),0)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39">
        <f ca="1">IFERROR(__xludf.DUMMYFUNCTION("IMPORTRANGE(""https://docs.google.com/spreadsheets/d/11923uPwbBZFjjGgGUA6NLw09EwE0CqkOc4q9oUmW1yo/edit?usp=sharing"",""สุโขทัย!J523"")"),2043537.96)</f>
        <v>2043537.96</v>
      </c>
      <c r="K628" s="340">
        <f t="shared" ref="K628:K635" ca="1" si="129">IF(I628&gt;0,J628*100/I628,0)</f>
        <v>33.351736208050859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IFERROR(__xludf.DUMMYFUNCTION("IMPORTRANGE(""https://docs.google.com/spreadsheets/d/11923uPwbBZFjjGgGUA6NLw09EwE0CqkOc4q9oUmW1yo/edit?usp=sharing"",""สุโขทัย!I524"")"),426)</f>
        <v>426</v>
      </c>
      <c r="J629" s="339">
        <f ca="1">IFERROR(__xludf.DUMMYFUNCTION("IMPORTRANGE(""https://docs.google.com/spreadsheets/d/11923uPwbBZFjjGgGUA6NLw09EwE0CqkOc4q9oUmW1yo/edit?usp=sharing"",""สุโขทัย!J524"")"),149)</f>
        <v>149</v>
      </c>
      <c r="K629" s="340">
        <f t="shared" ca="1" si="129"/>
        <v>34.976525821596248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39">
        <f ca="1">IFERROR(__xludf.DUMMYFUNCTION("IMPORTRANGE(""https://docs.google.com/spreadsheets/d/11923uPwbBZFjjGgGUA6NLw09EwE0CqkOc4q9oUmW1yo/edit?usp=sharing"",""สุโขทัย!J525"")"),1078895.23)</f>
        <v>1078895.23</v>
      </c>
      <c r="K630" s="340">
        <f t="shared" ca="1" si="129"/>
        <v>15.394993223561766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IFERROR(__xludf.DUMMYFUNCTION("IMPORTRANGE(""https://docs.google.com/spreadsheets/d/11923uPwbBZFjjGgGUA6NLw09EwE0CqkOc4q9oUmW1yo/edit?usp=sharing"",""สุโขทัย!I526"")"),256)</f>
        <v>256</v>
      </c>
      <c r="J631" s="339">
        <f ca="1">IFERROR(__xludf.DUMMYFUNCTION("IMPORTRANGE(""https://docs.google.com/spreadsheets/d/11923uPwbBZFjjGgGUA6NLw09EwE0CqkOc4q9oUmW1yo/edit?usp=sharing"",""สุโขทัย!J526"")"),185)</f>
        <v>185</v>
      </c>
      <c r="K631" s="340">
        <f t="shared" ca="1" si="129"/>
        <v>72.265625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IFERROR(__xludf.DUMMYFUNCTION("IMPORTRANGE(""https://docs.google.com/spreadsheets/d/11923uPwbBZFjjGgGUA6NLw09EwE0CqkOc4q9oUmW1yo/edit?usp=sharing"",""สุโขทัย!I527"")"),2664010.23)</f>
        <v>2664010.23</v>
      </c>
      <c r="J632" s="339">
        <f ca="1">IFERROR(__xludf.DUMMYFUNCTION("IMPORTRANGE(""https://docs.google.com/spreadsheets/d/11923uPwbBZFjjGgGUA6NLw09EwE0CqkOc4q9oUmW1yo/edit?usp=sharing"",""สุโขทัย!J527"")"),385837.47)</f>
        <v>385837.47</v>
      </c>
      <c r="K632" s="340">
        <f t="shared" ca="1" si="129"/>
        <v>14.483332896210387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IFERROR(__xludf.DUMMYFUNCTION("IMPORTRANGE(""https://docs.google.com/spreadsheets/d/11923uPwbBZFjjGgGUA6NLw09EwE0CqkOc4q9oUmW1yo/edit?usp=sharing"",""สุโขทัย!I528"")"),180)</f>
        <v>180</v>
      </c>
      <c r="J633" s="339">
        <f ca="1">IFERROR(__xludf.DUMMYFUNCTION("IMPORTRANGE(""https://docs.google.com/spreadsheets/d/11923uPwbBZFjjGgGUA6NLw09EwE0CqkOc4q9oUmW1yo/edit?usp=sharing"",""สุโขทัย!J528"")"),42)</f>
        <v>42</v>
      </c>
      <c r="K633" s="340">
        <f t="shared" ca="1" si="129"/>
        <v>23.333333333333332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IFERROR(__xludf.DUMMYFUNCTION("IMPORTRANGE(""https://docs.google.com/spreadsheets/d/11923uPwbBZFjjGgGUA6NLw09EwE0CqkOc4q9oUmW1yo/edit?usp=sharing"",""สุโขทัย!I529"")"),5000000)</f>
        <v>5000000</v>
      </c>
      <c r="J634" s="339">
        <f ca="1">IFERROR(__xludf.DUMMYFUNCTION("IMPORTRANGE(""https://docs.google.com/spreadsheets/d/11923uPwbBZFjjGgGUA6NLw09EwE0CqkOc4q9oUmW1yo/edit?usp=sharing"",""สุโขทัย!J529"")"),2140000)</f>
        <v>2140000</v>
      </c>
      <c r="K634" s="340">
        <f t="shared" ca="1" si="129"/>
        <v>42.8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IFERROR(__xludf.DUMMYFUNCTION("IMPORTRANGE(""https://docs.google.com/spreadsheets/d/11923uPwbBZFjjGgGUA6NLw09EwE0CqkOc4q9oUmW1yo/edit?usp=sharing"",""สุโขทัย!I530"")"),114)</f>
        <v>114</v>
      </c>
      <c r="J635" s="502">
        <f ca="1">IFERROR(__xludf.DUMMYFUNCTION("IMPORTRANGE(""https://docs.google.com/spreadsheets/d/11923uPwbBZFjjGgGUA6NLw09EwE0CqkOc4q9oUmW1yo/edit?usp=sharing"",""สุโขทัย!J530"")"),44)</f>
        <v>44</v>
      </c>
      <c r="K635" s="484">
        <f t="shared" ca="1" si="129"/>
        <v>38.596491228070178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9" width="15.36328125" bestFit="1" customWidth="1"/>
    <col min="10" max="10" width="13.90625" bestFit="1" customWidth="1"/>
    <col min="11" max="11" width="11" bestFit="1" customWidth="1"/>
    <col min="12" max="13" width="20.08984375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268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5599822</v>
      </c>
      <c r="M8" s="23">
        <f t="shared" ca="1" si="0"/>
        <v>2218165</v>
      </c>
      <c r="N8" s="23">
        <f t="shared" ca="1" si="0"/>
        <v>2343664.4</v>
      </c>
      <c r="O8" s="22">
        <f t="shared" ref="O8:O16" ca="1" si="1">IF(L8&gt;0,N8*100/L8,0)</f>
        <v>41.852480310981313</v>
      </c>
      <c r="P8" s="22">
        <f t="shared" ref="P8:P16" ca="1" si="2">IF(M8&gt;0,N8*100/M8,0)</f>
        <v>105.65780273334039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5599822</v>
      </c>
      <c r="M10" s="30">
        <f t="shared" ca="1" si="4"/>
        <v>2218165</v>
      </c>
      <c r="N10" s="30">
        <f t="shared" ca="1" si="4"/>
        <v>2343664.4</v>
      </c>
      <c r="O10" s="29">
        <f t="shared" ca="1" si="1"/>
        <v>41.852480310981313</v>
      </c>
      <c r="P10" s="29">
        <f t="shared" ca="1" si="2"/>
        <v>105.65780273334039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4754392</v>
      </c>
      <c r="M12" s="38">
        <f t="shared" ca="1" si="6"/>
        <v>1372735</v>
      </c>
      <c r="N12" s="38">
        <f t="shared" ca="1" si="6"/>
        <v>1498234.4</v>
      </c>
      <c r="O12" s="38">
        <f t="shared" ca="1" si="1"/>
        <v>31.512639260708834</v>
      </c>
      <c r="P12" s="38">
        <f t="shared" ca="1" si="2"/>
        <v>109.14228893413514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1880100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2874292</v>
      </c>
      <c r="M14" s="38">
        <f t="shared" si="8"/>
        <v>0</v>
      </c>
      <c r="N14" s="38">
        <f t="shared" ca="1" si="8"/>
        <v>335382.40000000002</v>
      </c>
      <c r="O14" s="38">
        <f t="shared" ca="1" si="1"/>
        <v>11.668348240192717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845430</v>
      </c>
      <c r="M16" s="38">
        <f t="shared" ca="1" si="10"/>
        <v>845430</v>
      </c>
      <c r="N16" s="38">
        <f t="shared" ca="1" si="10"/>
        <v>845430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3393895</v>
      </c>
      <c r="M18" s="23">
        <f t="shared" ca="1" si="11"/>
        <v>2218165</v>
      </c>
      <c r="N18" s="23">
        <f t="shared" ca="1" si="11"/>
        <v>2008282</v>
      </c>
      <c r="O18" s="22">
        <f t="shared" ref="O18:O20" ca="1" si="12">IF(L18&gt;0,N18*100/L18,0)</f>
        <v>59.173368651652453</v>
      </c>
      <c r="P18" s="22">
        <f t="shared" ref="P18:P26" ca="1" si="13">IF(M18&gt;0,N18*100/M18,0)</f>
        <v>90.537989734758241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3393895</v>
      </c>
      <c r="M20" s="30">
        <f t="shared" ca="1" si="15"/>
        <v>2218165</v>
      </c>
      <c r="N20" s="30">
        <f t="shared" ca="1" si="15"/>
        <v>2008282</v>
      </c>
      <c r="O20" s="29">
        <f t="shared" ca="1" si="12"/>
        <v>59.173368651652453</v>
      </c>
      <c r="P20" s="29">
        <f t="shared" ca="1" si="13"/>
        <v>90.537989734758241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2548465</v>
      </c>
      <c r="M22" s="41">
        <f t="shared" ca="1" si="18"/>
        <v>1372735</v>
      </c>
      <c r="N22" s="38">
        <f t="shared" ca="1" si="18"/>
        <v>1162852</v>
      </c>
      <c r="O22" s="38">
        <f t="shared" ca="1" si="17"/>
        <v>45.629506389140133</v>
      </c>
      <c r="P22" s="38">
        <f t="shared" ca="1" si="13"/>
        <v>84.710595999956297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1880100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668365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845430</v>
      </c>
      <c r="M26" s="49">
        <f t="shared" ca="1" si="22"/>
        <v>845430</v>
      </c>
      <c r="N26" s="49">
        <f t="shared" ca="1" si="22"/>
        <v>845430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2205927</v>
      </c>
      <c r="M28" s="23">
        <f t="shared" si="23"/>
        <v>0</v>
      </c>
      <c r="N28" s="23">
        <f t="shared" ca="1" si="23"/>
        <v>335382.40000000002</v>
      </c>
      <c r="O28" s="22">
        <f t="shared" ref="O28:O30" ca="1" si="24">IF(L28&gt;0,N28*100/L28,0)</f>
        <v>15.203694410558466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2205927</v>
      </c>
      <c r="M30" s="30">
        <f t="shared" si="27"/>
        <v>0</v>
      </c>
      <c r="N30" s="30">
        <f t="shared" ca="1" si="27"/>
        <v>335382.40000000002</v>
      </c>
      <c r="O30" s="29">
        <f t="shared" ca="1" si="24"/>
        <v>15.203694410558466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2205927</v>
      </c>
      <c r="M32" s="38">
        <f t="shared" si="30"/>
        <v>0</v>
      </c>
      <c r="N32" s="38">
        <f t="shared" ca="1" si="30"/>
        <v>335382.40000000002</v>
      </c>
      <c r="O32" s="38">
        <f t="shared" ca="1" si="29"/>
        <v>15.203694410558466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2205927</v>
      </c>
      <c r="M34" s="38">
        <f t="shared" si="32"/>
        <v>0</v>
      </c>
      <c r="N34" s="38">
        <f t="shared" ca="1" si="32"/>
        <v>335382.40000000002</v>
      </c>
      <c r="O34" s="38">
        <f t="shared" ca="1" si="29"/>
        <v>15.203694410558466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3393895</v>
      </c>
      <c r="M37" s="54">
        <f t="shared" ca="1" si="33"/>
        <v>2218165</v>
      </c>
      <c r="N37" s="54">
        <f t="shared" ca="1" si="33"/>
        <v>2008282</v>
      </c>
      <c r="O37" s="55">
        <f t="shared" ca="1" si="29"/>
        <v>59.173368651652453</v>
      </c>
      <c r="P37" s="55">
        <f t="shared" ca="1" si="25"/>
        <v>90.537989734758241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1487130</v>
      </c>
      <c r="M41" s="78">
        <f t="shared" ca="1" si="34"/>
        <v>1120130</v>
      </c>
      <c r="N41" s="78">
        <f t="shared" ca="1" si="34"/>
        <v>1066629</v>
      </c>
      <c r="O41" s="77">
        <f t="shared" ref="O41:O43" ca="1" si="35">IF(L41&gt;0,N41*100/L41,0)</f>
        <v>71.723991850073631</v>
      </c>
      <c r="P41" s="77">
        <f t="shared" ref="P41:P43" ca="1" si="36">IF(M41&gt;0,N41*100/M41,0)</f>
        <v>95.223679394356012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1487130</v>
      </c>
      <c r="M43" s="78">
        <f t="shared" ca="1" si="38"/>
        <v>1120130</v>
      </c>
      <c r="N43" s="78">
        <f t="shared" ca="1" si="38"/>
        <v>1066629</v>
      </c>
      <c r="O43" s="77">
        <f t="shared" ca="1" si="35"/>
        <v>71.723991850073631</v>
      </c>
      <c r="P43" s="77">
        <f t="shared" ca="1" si="36"/>
        <v>95.223679394356012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734100</v>
      </c>
      <c r="M45" s="49">
        <f ca="1">IFERROR(__xludf.DUMMYFUNCTION("IMPORTRANGE(""https://docs.google.com/spreadsheets/d/1Yj_ptqi66GCucihVvJfMjLAmec39IyEx_6qawtMGysU/edit?usp=sharing"",""สบก!Q35"")"),367100)</f>
        <v>367100</v>
      </c>
      <c r="N45" s="49">
        <f ca="1">IFERROR(__xludf.DUMMYFUNCTION("IMPORTRANGE(""https://docs.google.com/spreadsheets/d/1Yj_ptqi66GCucihVvJfMjLAmec39IyEx_6qawtMGysU/edit?usp=sharing"",""สบก!R35"")"),313599)</f>
        <v>313599</v>
      </c>
      <c r="O45" s="38">
        <f ca="1">IF(L45&gt;0,N45*100/L45,0)</f>
        <v>42.718839395177767</v>
      </c>
      <c r="P45" s="38">
        <f ca="1">IF(M45&gt;0,N45*100/M45,0)</f>
        <v>85.426041950422231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IFERROR(__xludf.DUMMYFUNCTION("IMPORTRANGE(""https://docs.google.com/spreadsheets/d/1Yj_ptqi66GCucihVvJfMjLAmec39IyEx_6qawtMGysU/edit?usp=sharing"",""สบก!M35"")"),734100)</f>
        <v>734100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IFERROR(__xludf.DUMMYFUNCTION("IMPORTRANGE(""https://docs.google.com/spreadsheets/d/1Yj_ptqi66GCucihVvJfMjLAmec39IyEx_6qawtMGysU/edit?usp=sharing"",""สบก!N35"")"),0)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IFERROR(__xludf.DUMMYFUNCTION("IMPORTRANGE(""https://docs.google.com/spreadsheets/d/1Yj_ptqi66GCucihVvJfMjLAmec39IyEx_6qawtMGysU/edit?usp=sharing"",""สบก!O35"")"),753030)</f>
        <v>753030</v>
      </c>
      <c r="M49" s="49">
        <f ca="1">L49</f>
        <v>753030</v>
      </c>
      <c r="N49" s="49">
        <f ca="1">IFERROR(__xludf.DUMMYFUNCTION("IMPORTRANGE(""https://docs.google.com/spreadsheets/d/1Yj_ptqi66GCucihVvJfMjLAmec39IyEx_6qawtMGysU/edit?usp=sharing"",""สบก!S35"")"),753030)</f>
        <v>753030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400000</v>
      </c>
      <c r="M53" s="120">
        <f t="shared" ca="1" si="39"/>
        <v>214840</v>
      </c>
      <c r="N53" s="120">
        <f t="shared" ca="1" si="39"/>
        <v>210201</v>
      </c>
      <c r="O53" s="119">
        <f t="shared" ref="O53:O55" ca="1" si="40">IF(L53&gt;0,N53*100/L53,0)</f>
        <v>52.550249999999998</v>
      </c>
      <c r="P53" s="119">
        <f t="shared" ref="P53:P55" ca="1" si="41">IF(M53&gt;0,N53*100/M53,0)</f>
        <v>97.840718674362321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400000</v>
      </c>
      <c r="M55" s="120">
        <f t="shared" ca="1" si="43"/>
        <v>214840</v>
      </c>
      <c r="N55" s="120">
        <f t="shared" ca="1" si="43"/>
        <v>210201</v>
      </c>
      <c r="O55" s="119">
        <f t="shared" ca="1" si="40"/>
        <v>52.550249999999998</v>
      </c>
      <c r="P55" s="119">
        <f t="shared" ca="1" si="41"/>
        <v>97.840718674362321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IFERROR(__xludf.DUMMYFUNCTION("IMPORTRANGE(""https://docs.google.com/spreadsheets/d/1Yj_ptqi66GCucihVvJfMjLAmec39IyEx_6qawtMGysU/edit?usp=sharing"",""สบก!Z35"")"),214840)</f>
        <v>214840</v>
      </c>
      <c r="N57" s="49">
        <f ca="1">IFERROR(__xludf.DUMMYFUNCTION("IMPORTRANGE(""https://docs.google.com/spreadsheets/d/1Yj_ptqi66GCucihVvJfMjLAmec39IyEx_6qawtMGysU/edit?usp=sharing"",""สบก!AA35"")"),210201)</f>
        <v>210201</v>
      </c>
      <c r="O57" s="38">
        <f ca="1">IF(L57&gt;0,N57*100/L57,0)</f>
        <v>52.550249999999998</v>
      </c>
      <c r="P57" s="38">
        <f ca="1">IF(M57&gt;0,N57*100/M57,0)</f>
        <v>97.840718674362321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IFERROR(__xludf.DUMMYFUNCTION("IMPORTRANGE(""https://docs.google.com/spreadsheets/d/1Yj_ptqi66GCucihVvJfMjLAmec39IyEx_6qawtMGysU/edit?usp=sharing"",""สบก!V35"")"),400000)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IFERROR(__xludf.DUMMYFUNCTION("IMPORTRANGE(""https://docs.google.com/spreadsheets/d/1Yj_ptqi66GCucihVvJfMjLAmec39IyEx_6qawtMGysU/edit?usp=sharing"",""สบก!W35"")"),0)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IFERROR(__xludf.DUMMYFUNCTION("IMPORTRANGE(""https://docs.google.com/spreadsheets/d/1Yj_ptqi66GCucihVvJfMjLAmec39IyEx_6qawtMGysU/edit?usp=sharing"",""สบก!X35"")"),0)</f>
        <v>0</v>
      </c>
      <c r="M61" s="49"/>
      <c r="N61" s="49">
        <f ca="1">IFERROR(__xludf.DUMMYFUNCTION("IMPORTRANGE(""https://docs.google.com/spreadsheets/d/1Yj_ptqi66GCucihVvJfMjLAmec39IyEx_6qawtMGysU/edit?usp=sharing"",""สบก!AB35"")"),0)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IFERROR(__xludf.DUMMYFUNCTION("IMPORTRANGE(""https://docs.google.com/spreadsheets/d/11923uPwbBZFjjGgGUA6NLw09EwE0CqkOc4q9oUmW1yo/edit?usp=sharing"",""อุตรดิตถ์!I9"")"),0)</f>
        <v>0</v>
      </c>
      <c r="J64" s="141">
        <f ca="1">IFERROR(__xludf.DUMMYFUNCTION("IMPORTRANGE(""https://docs.google.com/spreadsheets/d/11923uPwbBZFjjGgGUA6NLw09EwE0CqkOc4q9oUmW1yo/edit?usp=sharing"",""อุตรดิตถ์!J9"")"),0)</f>
        <v>0</v>
      </c>
      <c r="K64" s="142">
        <f t="shared" ref="K64:K65" ca="1" si="44">IF(I64&gt;0,J64*100/I64,0)</f>
        <v>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IFERROR(__xludf.DUMMYFUNCTION("IMPORTRANGE(""https://docs.google.com/spreadsheets/d/11923uPwbBZFjjGgGUA6NLw09EwE0CqkOc4q9oUmW1yo/edit?usp=sharing"",""อุตรดิตถ์!I10"")"),0)</f>
        <v>0</v>
      </c>
      <c r="J65" s="141">
        <f ca="1">IFERROR(__xludf.DUMMYFUNCTION("IMPORTRANGE(""https://docs.google.com/spreadsheets/d/11923uPwbBZFjjGgGUA6NLw09EwE0CqkOc4q9oUmW1yo/edit?usp=sharing"",""อุตรดิตถ์!J10"")"),0)</f>
        <v>0</v>
      </c>
      <c r="K65" s="142">
        <f t="shared" ca="1" si="44"/>
        <v>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0</v>
      </c>
      <c r="M66" s="151">
        <f t="shared" ca="1" si="45"/>
        <v>0</v>
      </c>
      <c r="N66" s="151">
        <f t="shared" ca="1" si="45"/>
        <v>0</v>
      </c>
      <c r="O66" s="150">
        <f t="shared" ref="O66:O68" ca="1" si="46">IF(L66&gt;0,N66*100/L66,0)</f>
        <v>0</v>
      </c>
      <c r="P66" s="150">
        <f t="shared" ref="P66:P68" ca="1" si="47">IF(M66&gt;0,N66*100/M66,0)</f>
        <v>0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0</v>
      </c>
      <c r="M68" s="87">
        <f t="shared" ca="1" si="49"/>
        <v>0</v>
      </c>
      <c r="N68" s="87">
        <f t="shared" ca="1" si="49"/>
        <v>0</v>
      </c>
      <c r="O68" s="155">
        <f t="shared" ca="1" si="46"/>
        <v>0</v>
      </c>
      <c r="P68" s="155">
        <f t="shared" ca="1" si="47"/>
        <v>0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IFERROR(__xludf.DUMMYFUNCTION("IMPORTRANGE(""https://docs.google.com/spreadsheets/d/1Yj_ptqi66GCucihVvJfMjLAmec39IyEx_6qawtMGysU/edit?usp=sharing"",""สบก!AI35"")"),0)</f>
        <v>0</v>
      </c>
      <c r="N70" s="168">
        <f ca="1">IFERROR(__xludf.DUMMYFUNCTION("IMPORTRANGE(""https://docs.google.com/spreadsheets/d/1Yj_ptqi66GCucihVvJfMjLAmec39IyEx_6qawtMGysU/edit?usp=sharing"",""สบก!AJ35"")"),0)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IFERROR(__xludf.DUMMYFUNCTION("IMPORTRANGE(""https://docs.google.com/spreadsheets/d/1Yj_ptqi66GCucihVvJfMjLAmec39IyEx_6qawtMGysU/edit?usp=sharing"",""สบก!AE35"")"),0)</f>
        <v>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IFERROR(__xludf.DUMMYFUNCTION("IMPORTRANGE(""https://docs.google.com/spreadsheets/d/1Yj_ptqi66GCucihVvJfMjLAmec39IyEx_6qawtMGysU/edit?usp=sharing"",""สบก!AF35"")"),0)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IFERROR(__xludf.DUMMYFUNCTION("IMPORTRANGE(""https://docs.google.com/spreadsheets/d/1Yj_ptqi66GCucihVvJfMjLAmec39IyEx_6qawtMGysU/edit?usp=sharing"",""สบก!AG35"")"),0)</f>
        <v>0</v>
      </c>
      <c r="M74" s="49"/>
      <c r="N74" s="49">
        <f ca="1">IFERROR(__xludf.DUMMYFUNCTION("IMPORTRANGE(""https://docs.google.com/spreadsheets/d/1Yj_ptqi66GCucihVvJfMjLAmec39IyEx_6qawtMGysU/edit?usp=sharing"",""สบก!AK35"")"),0)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IFERROR(__xludf.DUMMYFUNCTION("IMPORTRANGE(""https://docs.google.com/spreadsheets/d/11923uPwbBZFjjGgGUA6NLw09EwE0CqkOc4q9oUmW1yo/edit?usp=sharing"",""อุตรดิตถ์!J16"")"),0)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IFERROR(__xludf.DUMMYFUNCTION("IMPORTRANGE(""https://docs.google.com/spreadsheets/d/11923uPwbBZFjjGgGUA6NLw09EwE0CqkOc4q9oUmW1yo/edit?usp=sharing"",""อุตรดิตถ์!J17"")"),0)</f>
        <v>0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IFERROR(__xludf.DUMMYFUNCTION("IMPORTRANGE(""https://docs.google.com/spreadsheets/d/11923uPwbBZFjjGgGUA6NLw09EwE0CqkOc4q9oUmW1yo/edit?usp=sharing"",""อุตรดิตถ์!J18"")"),0)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IFERROR(__xludf.DUMMYFUNCTION("IMPORTRANGE(""https://docs.google.com/spreadsheets/d/11923uPwbBZFjjGgGUA6NLw09EwE0CqkOc4q9oUmW1yo/edit?usp=sharing"",""อุตรดิตถ์!J19"")"),0)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IFERROR(__xludf.DUMMYFUNCTION("IMPORTRANGE(""https://docs.google.com/spreadsheets/d/11923uPwbBZFjjGgGUA6NLw09EwE0CqkOc4q9oUmW1yo/edit?usp=sharing"",""อุตรดิตถ์!I20"")"),0)</f>
        <v>0</v>
      </c>
      <c r="J80" s="200">
        <f ca="1">IFERROR(__xludf.DUMMYFUNCTION("IMPORTRANGE(""https://docs.google.com/spreadsheets/d/11923uPwbBZFjjGgGUA6NLw09EwE0CqkOc4q9oUmW1yo/edit?usp=sharing"",""อุตรดิตถ์!J20"")"),0)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IFERROR(__xludf.DUMMYFUNCTION("IMPORTRANGE(""https://docs.google.com/spreadsheets/d/11923uPwbBZFjjGgGUA6NLw09EwE0CqkOc4q9oUmW1yo/edit?usp=sharing"",""อุตรดิตถ์!I21"")"),0)</f>
        <v>0</v>
      </c>
      <c r="J81" s="200">
        <f ca="1">IFERROR(__xludf.DUMMYFUNCTION("IMPORTRANGE(""https://docs.google.com/spreadsheets/d/11923uPwbBZFjjGgGUA6NLw09EwE0CqkOc4q9oUmW1yo/edit?usp=sharing"",""อุตรดิตถ์!J21"")"),0)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IFERROR(__xludf.DUMMYFUNCTION("IMPORTRANGE(""https://docs.google.com/spreadsheets/d/11923uPwbBZFjjGgGUA6NLw09EwE0CqkOc4q9oUmW1yo/edit?usp=sharing"",""อุตรดิตถ์!I22"")"),0)</f>
        <v>0</v>
      </c>
      <c r="J82" s="203">
        <f ca="1">IFERROR(__xludf.DUMMYFUNCTION("IMPORTRANGE(""https://docs.google.com/spreadsheets/d/11923uPwbBZFjjGgGUA6NLw09EwE0CqkOc4q9oUmW1yo/edit?usp=sharing"",""อุตรดิตถ์!J22"")"),0)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IFERROR(__xludf.DUMMYFUNCTION("IMPORTRANGE(""https://docs.google.com/spreadsheets/d/11923uPwbBZFjjGgGUA6NLw09EwE0CqkOc4q9oUmW1yo/edit?usp=sharing"",""อุตรดิตถ์!I23"")"),0)</f>
        <v>0</v>
      </c>
      <c r="J83" s="203">
        <f ca="1">IFERROR(__xludf.DUMMYFUNCTION("IMPORTRANGE(""https://docs.google.com/spreadsheets/d/11923uPwbBZFjjGgGUA6NLw09EwE0CqkOc4q9oUmW1yo/edit?usp=sharing"",""อุตรดิตถ์!J23"")"),0)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IFERROR(__xludf.DUMMYFUNCTION("IMPORTRANGE(""https://docs.google.com/spreadsheets/d/11923uPwbBZFjjGgGUA6NLw09EwE0CqkOc4q9oUmW1yo/edit?usp=sharing"",""อุตรดิตถ์!I24"")"),0)</f>
        <v>0</v>
      </c>
      <c r="J84" s="188">
        <f ca="1">IFERROR(__xludf.DUMMYFUNCTION("IMPORTRANGE(""https://docs.google.com/spreadsheets/d/11923uPwbBZFjjGgGUA6NLw09EwE0CqkOc4q9oUmW1yo/edit?usp=sharing"",""อุตรดิตถ์!J24"")"),0)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IFERROR(__xludf.DUMMYFUNCTION("IMPORTRANGE(""https://docs.google.com/spreadsheets/d/11923uPwbBZFjjGgGUA6NLw09EwE0CqkOc4q9oUmW1yo/edit?usp=sharing"",""อุตรดิตถ์!I25"")"),0)</f>
        <v>0</v>
      </c>
      <c r="J85" s="188">
        <f ca="1">IFERROR(__xludf.DUMMYFUNCTION("IMPORTRANGE(""https://docs.google.com/spreadsheets/d/11923uPwbBZFjjGgGUA6NLw09EwE0CqkOc4q9oUmW1yo/edit?usp=sharing"",""อุตรดิตถ์!J25"")"),0)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IFERROR(__xludf.DUMMYFUNCTION("IMPORTRANGE(""https://docs.google.com/spreadsheets/d/11923uPwbBZFjjGgGUA6NLw09EwE0CqkOc4q9oUmW1yo/edit?usp=sharing"",""อุตรดิตถ์!I26"")"),0)</f>
        <v>0</v>
      </c>
      <c r="J86" s="203">
        <f ca="1">IFERROR(__xludf.DUMMYFUNCTION("IMPORTRANGE(""https://docs.google.com/spreadsheets/d/11923uPwbBZFjjGgGUA6NLw09EwE0CqkOc4q9oUmW1yo/edit?usp=sharing"",""อุตรดิตถ์!J26"")"),0)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IFERROR(__xludf.DUMMYFUNCTION("IMPORTRANGE(""https://docs.google.com/spreadsheets/d/11923uPwbBZFjjGgGUA6NLw09EwE0CqkOc4q9oUmW1yo/edit?usp=sharing"",""อุตรดิตถ์!I27"")"),0)</f>
        <v>0</v>
      </c>
      <c r="J87" s="203">
        <f ca="1">IFERROR(__xludf.DUMMYFUNCTION("IMPORTRANGE(""https://docs.google.com/spreadsheets/d/11923uPwbBZFjjGgGUA6NLw09EwE0CqkOc4q9oUmW1yo/edit?usp=sharing"",""อุตรดิตถ์!J27"")"),0)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IFERROR(__xludf.DUMMYFUNCTION("IMPORTRANGE(""https://docs.google.com/spreadsheets/d/11923uPwbBZFjjGgGUA6NLw09EwE0CqkOc4q9oUmW1yo/edit?usp=sharing"",""อุตรดิตถ์!I28"")"),0)</f>
        <v>0</v>
      </c>
      <c r="J88" s="203">
        <f ca="1">IFERROR(__xludf.DUMMYFUNCTION("IMPORTRANGE(""https://docs.google.com/spreadsheets/d/11923uPwbBZFjjGgGUA6NLw09EwE0CqkOc4q9oUmW1yo/edit?usp=sharing"",""อุตรดิตถ์!J28"")"),0)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IFERROR(__xludf.DUMMYFUNCTION("IMPORTRANGE(""https://docs.google.com/spreadsheets/d/11923uPwbBZFjjGgGUA6NLw09EwE0CqkOc4q9oUmW1yo/edit?usp=sharing"",""อุตรดิตถ์!J29"")"),0)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IFERROR(__xludf.DUMMYFUNCTION("IMPORTRANGE(""https://docs.google.com/spreadsheets/d/11923uPwbBZFjjGgGUA6NLw09EwE0CqkOc4q9oUmW1yo/edit?usp=sharing"",""อุตรดิตถ์!J30"")"),0)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IFERROR(__xludf.DUMMYFUNCTION("IMPORTRANGE(""https://docs.google.com/spreadsheets/d/11923uPwbBZFjjGgGUA6NLw09EwE0CqkOc4q9oUmW1yo/edit?usp=sharing"",""อุตรดิตถ์!I32"")"),4)</f>
        <v>4</v>
      </c>
      <c r="J92" s="141">
        <f ca="1">IFERROR(__xludf.DUMMYFUNCTION("IMPORTRANGE(""https://docs.google.com/spreadsheets/d/11923uPwbBZFjjGgGUA6NLw09EwE0CqkOc4q9oUmW1yo/edit?usp=sharing"",""อุตรดิตถ์!J32"")"),4)</f>
        <v>4</v>
      </c>
      <c r="K92" s="142">
        <f t="shared" ref="K92:K93" ca="1" si="51">IF(I92&gt;0,J92*100/I92,0)</f>
        <v>100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IFERROR(__xludf.DUMMYFUNCTION("IMPORTRANGE(""https://docs.google.com/spreadsheets/d/11923uPwbBZFjjGgGUA6NLw09EwE0CqkOc4q9oUmW1yo/edit?usp=sharing"",""อุตรดิตถ์!I33"")"),1)</f>
        <v>1</v>
      </c>
      <c r="J93" s="141">
        <f ca="1">IFERROR(__xludf.DUMMYFUNCTION("IMPORTRANGE(""https://docs.google.com/spreadsheets/d/11923uPwbBZFjjGgGUA6NLw09EwE0CqkOc4q9oUmW1yo/edit?usp=sharing"",""อุตรดิตถ์!J33"")"),1)</f>
        <v>1</v>
      </c>
      <c r="K93" s="142">
        <f t="shared" ca="1" si="51"/>
        <v>100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214500</v>
      </c>
      <c r="M94" s="151">
        <f t="shared" ca="1" si="52"/>
        <v>161130</v>
      </c>
      <c r="N94" s="151">
        <f t="shared" ca="1" si="52"/>
        <v>118869</v>
      </c>
      <c r="O94" s="150">
        <f t="shared" ref="O94:O96" ca="1" si="53">IF(L94&gt;0,N94*100/L94,0)</f>
        <v>55.416783216783216</v>
      </c>
      <c r="P94" s="150">
        <f t="shared" ref="P94:P96" ca="1" si="54">IF(M94&gt;0,N94*100/M94,0)</f>
        <v>73.772109476819963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214500</v>
      </c>
      <c r="M96" s="87">
        <f t="shared" ca="1" si="56"/>
        <v>161130</v>
      </c>
      <c r="N96" s="87">
        <f t="shared" ca="1" si="56"/>
        <v>118869</v>
      </c>
      <c r="O96" s="155">
        <f t="shared" ca="1" si="53"/>
        <v>55.416783216783216</v>
      </c>
      <c r="P96" s="155">
        <f t="shared" ca="1" si="54"/>
        <v>73.772109476819963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IFERROR(__xludf.DUMMYFUNCTION("IMPORTRANGE(""https://docs.google.com/spreadsheets/d/1Yj_ptqi66GCucihVvJfMjLAmec39IyEx_6qawtMGysU/edit?usp=sharing"",""สบก!AR35"")"),68730)</f>
        <v>68730</v>
      </c>
      <c r="N98" s="168">
        <f ca="1">IFERROR(__xludf.DUMMYFUNCTION("IMPORTRANGE(""https://docs.google.com/spreadsheets/d/1Yj_ptqi66GCucihVvJfMjLAmec39IyEx_6qawtMGysU/edit?usp=sharing"",""สบก!AS35"")"),26469)</f>
        <v>26469</v>
      </c>
      <c r="O98" s="168">
        <f ca="1">IF(L98&gt;0,N98*100/L98,0)</f>
        <v>21.678132678132677</v>
      </c>
      <c r="P98" s="168">
        <f ca="1">IF(M98&gt;0,N98*100/M98,0)</f>
        <v>38.511567001309473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IFERROR(__xludf.DUMMYFUNCTION("IMPORTRANGE(""https://docs.google.com/spreadsheets/d/1Yj_ptqi66GCucihVvJfMjLAmec39IyEx_6qawtMGysU/edit?usp=sharing"",""สบก!AN35"")"),0)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IFERROR(__xludf.DUMMYFUNCTION("IMPORTRANGE(""https://docs.google.com/spreadsheets/d/1Yj_ptqi66GCucihVvJfMjLAmec39IyEx_6qawtMGysU/edit?usp=sharing"",""สบก!AO35"")"),122100)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IFERROR(__xludf.DUMMYFUNCTION("IMPORTRANGE(""https://docs.google.com/spreadsheets/d/1Yj_ptqi66GCucihVvJfMjLAmec39IyEx_6qawtMGysU/edit?usp=sharing"",""สบก!AP35"")"),92400)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IFERROR(__xludf.DUMMYFUNCTION("IMPORTRANGE(""https://docs.google.com/spreadsheets/d/1Yj_ptqi66GCucihVvJfMjLAmec39IyEx_6qawtMGysU/edit?usp=sharing"",""สบก!AT35"")"),92400)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IFERROR(__xludf.DUMMYFUNCTION("IMPORTRANGE(""https://docs.google.com/spreadsheets/d/11923uPwbBZFjjGgGUA6NLw09EwE0CqkOc4q9oUmW1yo/edit?usp=sharing"",""อุตรดิตถ์!J39"")"),0)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IFERROR(__xludf.DUMMYFUNCTION("IMPORTRANGE(""https://docs.google.com/spreadsheets/d/11923uPwbBZFjjGgGUA6NLw09EwE0CqkOc4q9oUmW1yo/edit?usp=sharing"",""อุตรดิตถ์!J40"")"),1)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IFERROR(__xludf.DUMMYFUNCTION("IMPORTRANGE(""https://docs.google.com/spreadsheets/d/11923uPwbBZFjjGgGUA6NLw09EwE0CqkOc4q9oUmW1yo/edit?usp=sharing"",""อุตรดิตถ์!J41"")"),1)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IFERROR(__xludf.DUMMYFUNCTION("IMPORTRANGE(""https://docs.google.com/spreadsheets/d/11923uPwbBZFjjGgGUA6NLw09EwE0CqkOc4q9oUmW1yo/edit?usp=sharing"",""อุตรดิตถ์!J42"")"),1)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IFERROR(__xludf.DUMMYFUNCTION("IMPORTRANGE(""https://docs.google.com/spreadsheets/d/11923uPwbBZFjjGgGUA6NLw09EwE0CqkOc4q9oUmW1yo/edit?usp=sharing"",""อุตรดิตถ์!I43"")"),1)</f>
        <v>1</v>
      </c>
      <c r="J108" s="203">
        <f ca="1">IFERROR(__xludf.DUMMYFUNCTION("IMPORTRANGE(""https://docs.google.com/spreadsheets/d/11923uPwbBZFjjGgGUA6NLw09EwE0CqkOc4q9oUmW1yo/edit?usp=sharing"",""อุตรดิตถ์!J43"")"),1)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IFERROR(__xludf.DUMMYFUNCTION("IMPORTRANGE(""https://docs.google.com/spreadsheets/d/11923uPwbBZFjjGgGUA6NLw09EwE0CqkOc4q9oUmW1yo/edit?usp=sharing"",""อุตรดิตถ์!I44"")"),4)</f>
        <v>4</v>
      </c>
      <c r="J109" s="203">
        <f ca="1">IFERROR(__xludf.DUMMYFUNCTION("IMPORTRANGE(""https://docs.google.com/spreadsheets/d/11923uPwbBZFjjGgGUA6NLw09EwE0CqkOc4q9oUmW1yo/edit?usp=sharing"",""อุตรดิตถ์!J44"")"),4)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IFERROR(__xludf.DUMMYFUNCTION("IMPORTRANGE(""https://docs.google.com/spreadsheets/d/11923uPwbBZFjjGgGUA6NLw09EwE0CqkOc4q9oUmW1yo/edit?usp=sharing"",""อุตรดิตถ์!I45"")"),4)</f>
        <v>4</v>
      </c>
      <c r="J110" s="203">
        <f ca="1">IFERROR(__xludf.DUMMYFUNCTION("IMPORTRANGE(""https://docs.google.com/spreadsheets/d/11923uPwbBZFjjGgGUA6NLw09EwE0CqkOc4q9oUmW1yo/edit?usp=sharing"",""อุตรดิตถ์!J45"")"),4)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IFERROR(__xludf.DUMMYFUNCTION("IMPORTRANGE(""https://docs.google.com/spreadsheets/d/11923uPwbBZFjjGgGUA6NLw09EwE0CqkOc4q9oUmW1yo/edit?usp=sharing"",""อุตรดิตถ์!I46"")"),4)</f>
        <v>4</v>
      </c>
      <c r="J111" s="203">
        <f ca="1">IFERROR(__xludf.DUMMYFUNCTION("IMPORTRANGE(""https://docs.google.com/spreadsheets/d/11923uPwbBZFjjGgGUA6NLw09EwE0CqkOc4q9oUmW1yo/edit?usp=sharing"",""อุตรดิตถ์!J46"")"),4)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IFERROR(__xludf.DUMMYFUNCTION("IMPORTRANGE(""https://docs.google.com/spreadsheets/d/11923uPwbBZFjjGgGUA6NLw09EwE0CqkOc4q9oUmW1yo/edit?usp=sharing"",""อุตรดิตถ์!I47"")"),4)</f>
        <v>4</v>
      </c>
      <c r="J112" s="203">
        <f ca="1">IFERROR(__xludf.DUMMYFUNCTION("IMPORTRANGE(""https://docs.google.com/spreadsheets/d/11923uPwbBZFjjGgGUA6NLw09EwE0CqkOc4q9oUmW1yo/edit?usp=sharing"",""อุตรดิตถ์!J47"")"),0)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IFERROR(__xludf.DUMMYFUNCTION("IMPORTRANGE(""https://docs.google.com/spreadsheets/d/11923uPwbBZFjjGgGUA6NLw09EwE0CqkOc4q9oUmW1yo/edit?usp=sharing"",""อุตรดิตถ์!I48"")"),1)</f>
        <v>1</v>
      </c>
      <c r="J113" s="203">
        <f ca="1">IFERROR(__xludf.DUMMYFUNCTION("IMPORTRANGE(""https://docs.google.com/spreadsheets/d/11923uPwbBZFjjGgGUA6NLw09EwE0CqkOc4q9oUmW1yo/edit?usp=sharing"",""อุตรดิตถ์!J48"")"),1)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IFERROR(__xludf.DUMMYFUNCTION("IMPORTRANGE(""https://docs.google.com/spreadsheets/d/11923uPwbBZFjjGgGUA6NLw09EwE0CqkOc4q9oUmW1yo/edit?usp=sharing"",""อุตรดิตถ์!J49"")"),0)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IFERROR(__xludf.DUMMYFUNCTION("IMPORTRANGE(""https://docs.google.com/spreadsheets/d/11923uPwbBZFjjGgGUA6NLw09EwE0CqkOc4q9oUmW1yo/edit?usp=sharing"",""อุตรดิตถ์!J50"")"),0)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IFERROR(__xludf.DUMMYFUNCTION("IMPORTRANGE(""https://docs.google.com/spreadsheets/d/11923uPwbBZFjjGgGUA6NLw09EwE0CqkOc4q9oUmW1yo/edit?usp=sharing"",""อุตรดิตถ์!I52"")"),20)</f>
        <v>20</v>
      </c>
      <c r="J117" s="141">
        <f ca="1">IFERROR(__xludf.DUMMYFUNCTION("IMPORTRANGE(""https://docs.google.com/spreadsheets/d/11923uPwbBZFjjGgGUA6NLw09EwE0CqkOc4q9oUmW1yo/edit?usp=sharing"",""อุตรดิตถ์!J52"")"),20)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56713</v>
      </c>
      <c r="O118" s="150">
        <f t="shared" ref="O118:O120" ca="1" si="59">IF(L118&gt;0,N118*100/L118,0)</f>
        <v>68.793061620572544</v>
      </c>
      <c r="P118" s="150">
        <f t="shared" ref="P118:P120" ca="1" si="60">IF(M118&gt;0,N118*100/M118,0)</f>
        <v>85.359723058398558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56713</v>
      </c>
      <c r="O120" s="155">
        <f t="shared" ca="1" si="59"/>
        <v>68.793061620572544</v>
      </c>
      <c r="P120" s="155">
        <f t="shared" ca="1" si="60"/>
        <v>85.359723058398558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IFERROR(__xludf.DUMMYFUNCTION("IMPORTRANGE(""https://docs.google.com/spreadsheets/d/1Yj_ptqi66GCucihVvJfMjLAmec39IyEx_6qawtMGysU/edit?usp=sharing"",""สบก!BA35"")"),66440)</f>
        <v>66440</v>
      </c>
      <c r="N122" s="168">
        <f ca="1">IFERROR(__xludf.DUMMYFUNCTION("IMPORTRANGE(""https://docs.google.com/spreadsheets/d/1Yj_ptqi66GCucihVvJfMjLAmec39IyEx_6qawtMGysU/edit?usp=sharing"",""สบก!BB35"")"),56713)</f>
        <v>56713</v>
      </c>
      <c r="O122" s="168">
        <f ca="1">IF(L122&gt;0,N122*100/L122,0)</f>
        <v>68.793061620572544</v>
      </c>
      <c r="P122" s="168">
        <f ca="1">IF(M122&gt;0,N122*100/M122,0)</f>
        <v>85.359723058398558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IFERROR(__xludf.DUMMYFUNCTION("IMPORTRANGE(""https://docs.google.com/spreadsheets/d/1Yj_ptqi66GCucihVvJfMjLAmec39IyEx_6qawtMGysU/edit?usp=sharing"",""สบก!AW35"")"),0)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IFERROR(__xludf.DUMMYFUNCTION("IMPORTRANGE(""https://docs.google.com/spreadsheets/d/1Yj_ptqi66GCucihVvJfMjLAmec39IyEx_6qawtMGysU/edit?usp=sharing"",""สบก!AX35"")"),82440)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IFERROR(__xludf.DUMMYFUNCTION("IMPORTRANGE(""https://docs.google.com/spreadsheets/d/1Yj_ptqi66GCucihVvJfMjLAmec39IyEx_6qawtMGysU/edit?usp=sharing"",""สบก!AY35"")"),0)</f>
        <v>0</v>
      </c>
      <c r="M126" s="49"/>
      <c r="N126" s="49">
        <f ca="1">IFERROR(__xludf.DUMMYFUNCTION("IMPORTRANGE(""https://docs.google.com/spreadsheets/d/1Yj_ptqi66GCucihVvJfMjLAmec39IyEx_6qawtMGysU/edit?usp=sharing"",""สบก!BC35"")"),0)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269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IFERROR(__xludf.DUMMYFUNCTION("IMPORTRANGE(""https://docs.google.com/spreadsheets/d/11923uPwbBZFjjGgGUA6NLw09EwE0CqkOc4q9oUmW1yo/edit?usp=sharing"",""อุตรดิตถ์!J58"")"),0)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IFERROR(__xludf.DUMMYFUNCTION("IMPORTRANGE(""https://docs.google.com/spreadsheets/d/11923uPwbBZFjjGgGUA6NLw09EwE0CqkOc4q9oUmW1yo/edit?usp=sharing"",""อุตรดิตถ์!J59"")"),1)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IFERROR(__xludf.DUMMYFUNCTION("IMPORTRANGE(""https://docs.google.com/spreadsheets/d/11923uPwbBZFjjGgGUA6NLw09EwE0CqkOc4q9oUmW1yo/edit?usp=sharing"",""อุตรดิตถ์!J60"")"),1)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IFERROR(__xludf.DUMMYFUNCTION("IMPORTRANGE(""https://docs.google.com/spreadsheets/d/11923uPwbBZFjjGgGUA6NLw09EwE0CqkOc4q9oUmW1yo/edit?usp=sharing"",""อุตรดิตถ์!J61"")"),1)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IFERROR(__xludf.DUMMYFUNCTION("IMPORTRANGE(""https://docs.google.com/spreadsheets/d/11923uPwbBZFjjGgGUA6NLw09EwE0CqkOc4q9oUmW1yo/edit?usp=sharing"",""อุตรดิตถ์!I62"")"),20)</f>
        <v>20</v>
      </c>
      <c r="J132" s="203">
        <f ca="1">IFERROR(__xludf.DUMMYFUNCTION("IMPORTRANGE(""https://docs.google.com/spreadsheets/d/11923uPwbBZFjjGgGUA6NLw09EwE0CqkOc4q9oUmW1yo/edit?usp=sharing"",""อุตรดิตถ์!J62"")"),20)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IFERROR(__xludf.DUMMYFUNCTION("IMPORTRANGE(""https://docs.google.com/spreadsheets/d/11923uPwbBZFjjGgGUA6NLw09EwE0CqkOc4q9oUmW1yo/edit?usp=sharing"",""อุตรดิตถ์!I63"")"),20)</f>
        <v>20</v>
      </c>
      <c r="J133" s="203">
        <f ca="1">IFERROR(__xludf.DUMMYFUNCTION("IMPORTRANGE(""https://docs.google.com/spreadsheets/d/11923uPwbBZFjjGgGUA6NLw09EwE0CqkOc4q9oUmW1yo/edit?usp=sharing"",""อุตรดิตถ์!J63"")"),20)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IFERROR(__xludf.DUMMYFUNCTION("IMPORTRANGE(""https://docs.google.com/spreadsheets/d/11923uPwbBZFjjGgGUA6NLw09EwE0CqkOc4q9oUmW1yo/edit?usp=sharing"",""อุตรดิตถ์!J64"")"),0)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IFERROR(__xludf.DUMMYFUNCTION("IMPORTRANGE(""https://docs.google.com/spreadsheets/d/11923uPwbBZFjjGgGUA6NLw09EwE0CqkOc4q9oUmW1yo/edit?usp=sharing"",""อุตรดิตถ์!J65"")"),0)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IFERROR(__xludf.DUMMYFUNCTION("IMPORTRANGE(""https://docs.google.com/spreadsheets/d/11923uPwbBZFjjGgGUA6NLw09EwE0CqkOc4q9oUmW1yo/edit?usp=sharing"",""อุตรดิตถ์!I68"")"),0)</f>
        <v>0</v>
      </c>
      <c r="J138" s="266">
        <f ca="1">IFERROR(__xludf.DUMMYFUNCTION("IMPORTRANGE(""https://docs.google.com/spreadsheets/d/11923uPwbBZFjjGgGUA6NLw09EwE0CqkOc4q9oUmW1yo/edit?usp=sharing"",""อุตรดิตถ์!J68"")"),0)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79000</v>
      </c>
      <c r="M140" s="151">
        <f t="shared" ca="1" si="64"/>
        <v>63750</v>
      </c>
      <c r="N140" s="151">
        <f t="shared" ca="1" si="64"/>
        <v>55851</v>
      </c>
      <c r="O140" s="150">
        <f t="shared" ref="O140:O142" ca="1" si="65">IF(L140&gt;0,N140*100/L140,0)</f>
        <v>70.697468354430384</v>
      </c>
      <c r="P140" s="150">
        <f t="shared" ref="P140:P142" ca="1" si="66">IF(M140&gt;0,N140*100/M140,0)</f>
        <v>87.609411764705882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79000</v>
      </c>
      <c r="M142" s="87">
        <f t="shared" ca="1" si="68"/>
        <v>63750</v>
      </c>
      <c r="N142" s="87">
        <f t="shared" ca="1" si="68"/>
        <v>55851</v>
      </c>
      <c r="O142" s="155">
        <f t="shared" ca="1" si="65"/>
        <v>70.697468354430384</v>
      </c>
      <c r="P142" s="155">
        <f t="shared" ca="1" si="66"/>
        <v>87.609411764705882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79000</v>
      </c>
      <c r="M144" s="167">
        <f ca="1">IFERROR(__xludf.DUMMYFUNCTION("IMPORTRANGE(""https://docs.google.com/spreadsheets/d/1Yj_ptqi66GCucihVvJfMjLAmec39IyEx_6qawtMGysU/edit?usp=sharing"",""สบก!BJ35"")"),63750)</f>
        <v>63750</v>
      </c>
      <c r="N144" s="168">
        <f ca="1">IFERROR(__xludf.DUMMYFUNCTION("IMPORTRANGE(""https://docs.google.com/spreadsheets/d/1Yj_ptqi66GCucihVvJfMjLAmec39IyEx_6qawtMGysU/edit?usp=sharing"",""สบก!BK35"")"),55851)</f>
        <v>55851</v>
      </c>
      <c r="O144" s="168">
        <f ca="1">IF(L144&gt;0,N144*100/L144,0)</f>
        <v>70.697468354430384</v>
      </c>
      <c r="P144" s="168">
        <f ca="1">IF(M144&gt;0,N144*100/M144,0)</f>
        <v>87.609411764705882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IFERROR(__xludf.DUMMYFUNCTION("IMPORTRANGE(""https://docs.google.com/spreadsheets/d/1Yj_ptqi66GCucihVvJfMjLAmec39IyEx_6qawtMGysU/edit?usp=sharing"",""สบก!BF35"")"),0)</f>
        <v>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IFERROR(__xludf.DUMMYFUNCTION("IMPORTRANGE(""https://docs.google.com/spreadsheets/d/1Yj_ptqi66GCucihVvJfMjLAmec39IyEx_6qawtMGysU/edit?usp=sharing"",""สบก!BG35"")"),79000)</f>
        <v>79000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IFERROR(__xludf.DUMMYFUNCTION("IMPORTRANGE(""https://docs.google.com/spreadsheets/d/1Yj_ptqi66GCucihVvJfMjLAmec39IyEx_6qawtMGysU/edit?usp=sharing"",""สบก!BH35"")"),0)</f>
        <v>0</v>
      </c>
      <c r="M148" s="49"/>
      <c r="N148" s="49">
        <f ca="1">IFERROR(__xludf.DUMMYFUNCTION("IMPORTRANGE(""https://docs.google.com/spreadsheets/d/1Yj_ptqi66GCucihVvJfMjLAmec39IyEx_6qawtMGysU/edit?usp=sharing"",""สบก!BL35"")"),0)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IFERROR(__xludf.DUMMYFUNCTION("IMPORTRANGE(""https://docs.google.com/spreadsheets/d/11923uPwbBZFjjGgGUA6NLw09EwE0CqkOc4q9oUmW1yo/edit?usp=sharing"",""อุตรดิตถ์!I74"")"),4)</f>
        <v>4</v>
      </c>
      <c r="J149" s="274">
        <f ca="1">IFERROR(__xludf.DUMMYFUNCTION("IMPORTRANGE(""https://docs.google.com/spreadsheets/d/11923uPwbBZFjjGgGUA6NLw09EwE0CqkOc4q9oUmW1yo/edit?usp=sharing"",""อุตรดิตถ์!J74"")"),2)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IFERROR(__xludf.DUMMYFUNCTION("IMPORTRANGE(""https://docs.google.com/spreadsheets/d/11923uPwbBZFjjGgGUA6NLw09EwE0CqkOc4q9oUmW1yo/edit?usp=sharing"",""อุตรดิตถ์!J79"")"),0)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IFERROR(__xludf.DUMMYFUNCTION("IMPORTRANGE(""https://docs.google.com/spreadsheets/d/11923uPwbBZFjjGgGUA6NLw09EwE0CqkOc4q9oUmW1yo/edit?usp=sharing"",""อุตรดิตถ์!J80"")"),1)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IFERROR(__xludf.DUMMYFUNCTION("IMPORTRANGE(""https://docs.google.com/spreadsheets/d/11923uPwbBZFjjGgGUA6NLw09EwE0CqkOc4q9oUmW1yo/edit?usp=sharing"",""อุตรดิตถ์!J81"")"),1)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IFERROR(__xludf.DUMMYFUNCTION("IMPORTRANGE(""https://docs.google.com/spreadsheets/d/11923uPwbBZFjjGgGUA6NLw09EwE0CqkOc4q9oUmW1yo/edit?usp=sharing"",""อุตรดิตถ์!J82"")"),1)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IFERROR(__xludf.DUMMYFUNCTION("IMPORTRANGE(""https://docs.google.com/spreadsheets/d/11923uPwbBZFjjGgGUA6NLw09EwE0CqkOc4q9oUmW1yo/edit?usp=sharing"",""อุตรดิตถ์!I83"")"),4)</f>
        <v>4</v>
      </c>
      <c r="J158" s="188">
        <f ca="1">IFERROR(__xludf.DUMMYFUNCTION("IMPORTRANGE(""https://docs.google.com/spreadsheets/d/11923uPwbBZFjjGgGUA6NLw09EwE0CqkOc4q9oUmW1yo/edit?usp=sharing"",""อุตรดิตถ์!J83"")"),2)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IFERROR(__xludf.DUMMYFUNCTION("IMPORTRANGE(""https://docs.google.com/spreadsheets/d/11923uPwbBZFjjGgGUA6NLw09EwE0CqkOc4q9oUmW1yo/edit?usp=sharing"",""อุตรดิตถ์!J84"")"),102)</f>
        <v>102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IFERROR(__xludf.DUMMYFUNCTION("IMPORTRANGE(""https://docs.google.com/spreadsheets/d/11923uPwbBZFjjGgGUA6NLw09EwE0CqkOc4q9oUmW1yo/edit?usp=sharing"",""อุตรดิตถ์!J85"")"),102)</f>
        <v>102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IFERROR(__xludf.DUMMYFUNCTION("IMPORTRANGE(""https://docs.google.com/spreadsheets/d/11923uPwbBZFjjGgGUA6NLw09EwE0CqkOc4q9oUmW1yo/edit?usp=sharing"",""อุตรดิตถ์!J86"")"),0)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IFERROR(__xludf.DUMMYFUNCTION("IMPORTRANGE(""https://docs.google.com/spreadsheets/d/11923uPwbBZFjjGgGUA6NLw09EwE0CqkOc4q9oUmW1yo/edit?usp=sharing"",""อุตรดิตถ์!J87"")"),0)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IFERROR(__xludf.DUMMYFUNCTION("IMPORTRANGE(""https://docs.google.com/spreadsheets/d/11923uPwbBZFjjGgGUA6NLw09EwE0CqkOc4q9oUmW1yo/edit?usp=sharing"",""อุตรดิตถ์!J88"")"),0)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IFERROR(__xludf.DUMMYFUNCTION("IMPORTRANGE(""https://docs.google.com/spreadsheets/d/11923uPwbBZFjjGgGUA6NLw09EwE0CqkOc4q9oUmW1yo/edit?usp=sharing"",""อุตรดิตถ์!I89"")"),3)</f>
        <v>3</v>
      </c>
      <c r="J164" s="282">
        <f ca="1">IFERROR(__xludf.DUMMYFUNCTION("IMPORTRANGE(""https://docs.google.com/spreadsheets/d/11923uPwbBZFjjGgGUA6NLw09EwE0CqkOc4q9oUmW1yo/edit?usp=sharing"",""อุตรดิตถ์!J89"")"),2)</f>
        <v>2</v>
      </c>
      <c r="K164" s="283">
        <f ca="1">IF(I164&gt;0,J164*100/I164,0)</f>
        <v>66.666666666666671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IFERROR(__xludf.DUMMYFUNCTION("IMPORTRANGE(""https://docs.google.com/spreadsheets/d/11923uPwbBZFjjGgGUA6NLw09EwE0CqkOc4q9oUmW1yo/edit?usp=sharing"",""อุตรดิตถ์!J94"")"),0)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IFERROR(__xludf.DUMMYFUNCTION("IMPORTRANGE(""https://docs.google.com/spreadsheets/d/11923uPwbBZFjjGgGUA6NLw09EwE0CqkOc4q9oUmW1yo/edit?usp=sharing"",""อุตรดิตถ์!J95"")"),1)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IFERROR(__xludf.DUMMYFUNCTION("IMPORTRANGE(""https://docs.google.com/spreadsheets/d/11923uPwbBZFjjGgGUA6NLw09EwE0CqkOc4q9oUmW1yo/edit?usp=sharing"",""อุตรดิตถ์!J96"")"),1)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IFERROR(__xludf.DUMMYFUNCTION("IMPORTRANGE(""https://docs.google.com/spreadsheets/d/11923uPwbBZFjjGgGUA6NLw09EwE0CqkOc4q9oUmW1yo/edit?usp=sharing"",""อุตรดิตถ์!J97"")"),1)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IFERROR(__xludf.DUMMYFUNCTION("IMPORTRANGE(""https://docs.google.com/spreadsheets/d/11923uPwbBZFjjGgGUA6NLw09EwE0CqkOc4q9oUmW1yo/edit?usp=sharing"",""อุตรดิตถ์!I98"")"),3)</f>
        <v>3</v>
      </c>
      <c r="J173" s="188">
        <f ca="1">IFERROR(__xludf.DUMMYFUNCTION("IMPORTRANGE(""https://docs.google.com/spreadsheets/d/11923uPwbBZFjjGgGUA6NLw09EwE0CqkOc4q9oUmW1yo/edit?usp=sharing"",""อุตรดิตถ์!J98"")"),2)</f>
        <v>2</v>
      </c>
      <c r="K173" s="163">
        <f ca="1">IF(I173&gt;0,J173*100/I173,0)</f>
        <v>66.666666666666671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IFERROR(__xludf.DUMMYFUNCTION("IMPORTRANGE(""https://docs.google.com/spreadsheets/d/11923uPwbBZFjjGgGUA6NLw09EwE0CqkOc4q9oUmW1yo/edit?usp=sharing"",""อุตรดิตถ์!J99"")"),0)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IFERROR(__xludf.DUMMYFUNCTION("IMPORTRANGE(""https://docs.google.com/spreadsheets/d/11923uPwbBZFjjGgGUA6NLw09EwE0CqkOc4q9oUmW1yo/edit?usp=sharing"",""อุตรดิตถ์!J100"")"),0)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IFERROR(__xludf.DUMMYFUNCTION("IMPORTRANGE(""https://docs.google.com/spreadsheets/d/11923uPwbBZFjjGgGUA6NLw09EwE0CqkOc4q9oUmW1yo/edit?usp=sharing"",""อุตรดิตถ์!I101"")"),1)</f>
        <v>1</v>
      </c>
      <c r="J176" s="282">
        <f ca="1">IFERROR(__xludf.DUMMYFUNCTION("IMPORTRANGE(""https://docs.google.com/spreadsheets/d/11923uPwbBZFjjGgGUA6NLw09EwE0CqkOc4q9oUmW1yo/edit?usp=sharing"",""อุตรดิตถ์!J101"")"),1)</f>
        <v>1</v>
      </c>
      <c r="K176" s="283">
        <f ca="1">IF(I176&gt;0,J176*100/I176,0)</f>
        <v>100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IFERROR(__xludf.DUMMYFUNCTION("IMPORTRANGE(""https://docs.google.com/spreadsheets/d/11923uPwbBZFjjGgGUA6NLw09EwE0CqkOc4q9oUmW1yo/edit?usp=sharing"",""อุตรดิตถ์!J106"")"),0)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IFERROR(__xludf.DUMMYFUNCTION("IMPORTRANGE(""https://docs.google.com/spreadsheets/d/11923uPwbBZFjjGgGUA6NLw09EwE0CqkOc4q9oUmW1yo/edit?usp=sharing"",""อุตรดิตถ์!J107"")"),1)</f>
        <v>1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IFERROR(__xludf.DUMMYFUNCTION("IMPORTRANGE(""https://docs.google.com/spreadsheets/d/11923uPwbBZFjjGgGUA6NLw09EwE0CqkOc4q9oUmW1yo/edit?usp=sharing"",""อุตรดิตถ์!J108"")"),1)</f>
        <v>1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IFERROR(__xludf.DUMMYFUNCTION("IMPORTRANGE(""https://docs.google.com/spreadsheets/d/11923uPwbBZFjjGgGUA6NLw09EwE0CqkOc4q9oUmW1yo/edit?usp=sharing"",""อุตรดิตถ์!J109"")"),1)</f>
        <v>1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IFERROR(__xludf.DUMMYFUNCTION("IMPORTRANGE(""https://docs.google.com/spreadsheets/d/11923uPwbBZFjjGgGUA6NLw09EwE0CqkOc4q9oUmW1yo/edit?usp=sharing"",""อุตรดิตถ์!I110"")"),1)</f>
        <v>1</v>
      </c>
      <c r="J185" s="203">
        <f ca="1">IFERROR(__xludf.DUMMYFUNCTION("IMPORTRANGE(""https://docs.google.com/spreadsheets/d/11923uPwbBZFjjGgGUA6NLw09EwE0CqkOc4q9oUmW1yo/edit?usp=sharing"",""อุตรดิตถ์!J110"")"),1)</f>
        <v>1</v>
      </c>
      <c r="K185" s="223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IFERROR(__xludf.DUMMYFUNCTION("IMPORTRANGE(""https://docs.google.com/spreadsheets/d/11923uPwbBZFjjGgGUA6NLw09EwE0CqkOc4q9oUmW1yo/edit?usp=sharing"",""อุตรดิตถ์!I111"")"),1)</f>
        <v>1</v>
      </c>
      <c r="J186" s="203">
        <f ca="1">IFERROR(__xludf.DUMMYFUNCTION("IMPORTRANGE(""https://docs.google.com/spreadsheets/d/11923uPwbBZFjjGgGUA6NLw09EwE0CqkOc4q9oUmW1yo/edit?usp=sharing"",""อุตรดิตถ์!J111"")"),1)</f>
        <v>1</v>
      </c>
      <c r="K186" s="223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IFERROR(__xludf.DUMMYFUNCTION("IMPORTRANGE(""https://docs.google.com/spreadsheets/d/11923uPwbBZFjjGgGUA6NLw09EwE0CqkOc4q9oUmW1yo/edit?usp=sharing"",""อุตรดิตถ์!J112"")"),0)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IFERROR(__xludf.DUMMYFUNCTION("IMPORTRANGE(""https://docs.google.com/spreadsheets/d/11923uPwbBZFjjGgGUA6NLw09EwE0CqkOc4q9oUmW1yo/edit?usp=sharing"",""อุตรดิตถ์!J113"")"),0)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IFERROR(__xludf.DUMMYFUNCTION("IMPORTRANGE(""https://docs.google.com/spreadsheets/d/11923uPwbBZFjjGgGUA6NLw09EwE0CqkOc4q9oUmW1yo/edit?usp=sharing"",""อุตรดิตถ์!I114"")"),30000)</f>
        <v>30000</v>
      </c>
      <c r="J189" s="282">
        <f ca="1">IFERROR(__xludf.DUMMYFUNCTION("IMPORTRANGE(""https://docs.google.com/spreadsheets/d/11923uPwbBZFjjGgGUA6NLw09EwE0CqkOc4q9oUmW1yo/edit?usp=sharing"",""อุตรดิตถ์!J114"")"),0)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IFERROR(__xludf.DUMMYFUNCTION("IMPORTRANGE(""https://docs.google.com/spreadsheets/d/11923uPwbBZFjjGgGUA6NLw09EwE0CqkOc4q9oUmW1yo/edit?usp=sharing"",""อุตรดิตถ์!J119"")"),0)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IFERROR(__xludf.DUMMYFUNCTION("IMPORTRANGE(""https://docs.google.com/spreadsheets/d/11923uPwbBZFjjGgGUA6NLw09EwE0CqkOc4q9oUmW1yo/edit?usp=sharing"",""อุตรดิตถ์!J120"")"),1)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IFERROR(__xludf.DUMMYFUNCTION("IMPORTRANGE(""https://docs.google.com/spreadsheets/d/11923uPwbBZFjjGgGUA6NLw09EwE0CqkOc4q9oUmW1yo/edit?usp=sharing"",""อุตรดิตถ์!J121"")"),1)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IFERROR(__xludf.DUMMYFUNCTION("IMPORTRANGE(""https://docs.google.com/spreadsheets/d/11923uPwbBZFjjGgGUA6NLw09EwE0CqkOc4q9oUmW1yo/edit?usp=sharing"",""อุตรดิตถ์!J122"")"),1)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IFERROR(__xludf.DUMMYFUNCTION("IMPORTRANGE(""https://docs.google.com/spreadsheets/d/11923uPwbBZFjjGgGUA6NLw09EwE0CqkOc4q9oUmW1yo/edit?usp=sharing"",""อุตรดิตถ์!I124"")"),30000)</f>
        <v>30000</v>
      </c>
      <c r="J199" s="188">
        <f ca="1">IFERROR(__xludf.DUMMYFUNCTION("IMPORTRANGE(""https://docs.google.com/spreadsheets/d/11923uPwbBZFjjGgGUA6NLw09EwE0CqkOc4q9oUmW1yo/edit?usp=sharing"",""อุตรดิตถ์!J124"")"),0)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IFERROR(__xludf.DUMMYFUNCTION("IMPORTRANGE(""https://docs.google.com/spreadsheets/d/11923uPwbBZFjjGgGUA6NLw09EwE0CqkOc4q9oUmW1yo/edit?usp=sharing"",""อุตรดิตถ์!I125"")"),30000)</f>
        <v>30000</v>
      </c>
      <c r="J200" s="188">
        <f ca="1">IFERROR(__xludf.DUMMYFUNCTION("IMPORTRANGE(""https://docs.google.com/spreadsheets/d/11923uPwbBZFjjGgGUA6NLw09EwE0CqkOc4q9oUmW1yo/edit?usp=sharing"",""อุตรดิตถ์!J125"")"),0)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IFERROR(__xludf.DUMMYFUNCTION("IMPORTRANGE(""https://docs.google.com/spreadsheets/d/11923uPwbBZFjjGgGUA6NLw09EwE0CqkOc4q9oUmW1yo/edit?usp=sharing"",""อุตรดิตถ์!I126"")"),0)</f>
        <v>0</v>
      </c>
      <c r="J201" s="188">
        <f ca="1">IFERROR(__xludf.DUMMYFUNCTION("IMPORTRANGE(""https://docs.google.com/spreadsheets/d/11923uPwbBZFjjGgGUA6NLw09EwE0CqkOc4q9oUmW1yo/edit?usp=sharing"",""อุตรดิตถ์!J126"")"),0)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IFERROR(__xludf.DUMMYFUNCTION("IMPORTRANGE(""https://docs.google.com/spreadsheets/d/11923uPwbBZFjjGgGUA6NLw09EwE0CqkOc4q9oUmW1yo/edit?usp=sharing"",""อุตรดิตถ์!J127"")"),0)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IFERROR(__xludf.DUMMYFUNCTION("IMPORTRANGE(""https://docs.google.com/spreadsheets/d/11923uPwbBZFjjGgGUA6NLw09EwE0CqkOc4q9oUmW1yo/edit?usp=sharing"",""อุตรดิตถ์!J128"")"),0)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IFERROR(__xludf.DUMMYFUNCTION("IMPORTRANGE(""https://docs.google.com/spreadsheets/d/11923uPwbBZFjjGgGUA6NLw09EwE0CqkOc4q9oUmW1yo/edit?usp=sharing"",""อุตรดิตถ์!I129"")"),0)</f>
        <v>0</v>
      </c>
      <c r="J204" s="282">
        <f ca="1">IFERROR(__xludf.DUMMYFUNCTION("IMPORTRANGE(""https://docs.google.com/spreadsheets/d/11923uPwbBZFjjGgGUA6NLw09EwE0CqkOc4q9oUmW1yo/edit?usp=sharing"",""อุตรดิตถ์!J129"")"),0)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IFERROR(__xludf.DUMMYFUNCTION("IMPORTRANGE(""https://docs.google.com/spreadsheets/d/11923uPwbBZFjjGgGUA6NLw09EwE0CqkOc4q9oUmW1yo/edit?usp=sharing"",""อุตรดิตถ์!J134"")"),0)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IFERROR(__xludf.DUMMYFUNCTION("IMPORTRANGE(""https://docs.google.com/spreadsheets/d/11923uPwbBZFjjGgGUA6NLw09EwE0CqkOc4q9oUmW1yo/edit?usp=sharing"",""อุตรดิตถ์!J135"")"),0)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IFERROR(__xludf.DUMMYFUNCTION("IMPORTRANGE(""https://docs.google.com/spreadsheets/d/11923uPwbBZFjjGgGUA6NLw09EwE0CqkOc4q9oUmW1yo/edit?usp=sharing"",""อุตรดิตถ์!J136"")"),0)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IFERROR(__xludf.DUMMYFUNCTION("IMPORTRANGE(""https://docs.google.com/spreadsheets/d/11923uPwbBZFjjGgGUA6NLw09EwE0CqkOc4q9oUmW1yo/edit?usp=sharing"",""อุตรดิตถ์!J137"")"),0)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IFERROR(__xludf.DUMMYFUNCTION("IMPORTRANGE(""https://docs.google.com/spreadsheets/d/11923uPwbBZFjjGgGUA6NLw09EwE0CqkOc4q9oUmW1yo/edit?usp=sharing"",""อุตรดิตถ์!I138"")"),0)</f>
        <v>0</v>
      </c>
      <c r="J213" s="203">
        <f ca="1">IFERROR(__xludf.DUMMYFUNCTION("IMPORTRANGE(""https://docs.google.com/spreadsheets/d/11923uPwbBZFjjGgGUA6NLw09EwE0CqkOc4q9oUmW1yo/edit?usp=sharing"",""อุตรดิตถ์!J138"")"),0)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IFERROR(__xludf.DUMMYFUNCTION("IMPORTRANGE(""https://docs.google.com/spreadsheets/d/11923uPwbBZFjjGgGUA6NLw09EwE0CqkOc4q9oUmW1yo/edit?usp=sharing"",""อุตรดิตถ์!I140"")"),0)</f>
        <v>0</v>
      </c>
      <c r="J215" s="203">
        <f ca="1">IFERROR(__xludf.DUMMYFUNCTION("IMPORTRANGE(""https://docs.google.com/spreadsheets/d/11923uPwbBZFjjGgGUA6NLw09EwE0CqkOc4q9oUmW1yo/edit?usp=sharing"",""อุตรดิตถ์!J140"")"),0)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IFERROR(__xludf.DUMMYFUNCTION("IMPORTRANGE(""https://docs.google.com/spreadsheets/d/11923uPwbBZFjjGgGUA6NLw09EwE0CqkOc4q9oUmW1yo/edit?usp=sharing"",""อุตรดิตถ์!I141"")"),0)</f>
        <v>0</v>
      </c>
      <c r="J216" s="203">
        <f ca="1">IFERROR(__xludf.DUMMYFUNCTION("IMPORTRANGE(""https://docs.google.com/spreadsheets/d/11923uPwbBZFjjGgGUA6NLw09EwE0CqkOc4q9oUmW1yo/edit?usp=sharing"",""อุตรดิตถ์!J141"")"),0)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IFERROR(__xludf.DUMMYFUNCTION("IMPORTRANGE(""https://docs.google.com/spreadsheets/d/11923uPwbBZFjjGgGUA6NLw09EwE0CqkOc4q9oUmW1yo/edit?usp=sharing"",""อุตรดิตถ์!J142"")"),0)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IFERROR(__xludf.DUMMYFUNCTION("IMPORTRANGE(""https://docs.google.com/spreadsheets/d/11923uPwbBZFjjGgGUA6NLw09EwE0CqkOc4q9oUmW1yo/edit?usp=sharing"",""อุตรดิตถ์!J143"")"),0)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IFERROR(__xludf.DUMMYFUNCTION("IMPORTRANGE(""https://docs.google.com/spreadsheets/d/11923uPwbBZFjjGgGUA6NLw09EwE0CqkOc4q9oUmW1yo/edit?usp=sharing"",""อุตรดิตถ์!I144"")"),15)</f>
        <v>15</v>
      </c>
      <c r="J219" s="266">
        <f ca="1">IFERROR(__xludf.DUMMYFUNCTION("IMPORTRANGE(""https://docs.google.com/spreadsheets/d/11923uPwbBZFjjGgGUA6NLw09EwE0CqkOc4q9oUmW1yo/edit?usp=sharing"",""อุตรดิตถ์!J144"")"),15)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21125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21125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IFERROR(__xludf.DUMMYFUNCTION("IMPORTRANGE(""https://docs.google.com/spreadsheets/d/1Yj_ptqi66GCucihVvJfMjLAmec39IyEx_6qawtMGysU/edit?usp=sharing"",""สบก!BS35"")"),21125)</f>
        <v>21125</v>
      </c>
      <c r="N224" s="168">
        <f ca="1">IFERROR(__xludf.DUMMYFUNCTION("IMPORTRANGE(""https://docs.google.com/spreadsheets/d/1Yj_ptqi66GCucihVvJfMjLAmec39IyEx_6qawtMGysU/edit?usp=sharing"",""สบก!BT35"")"),21125)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IFERROR(__xludf.DUMMYFUNCTION("IMPORTRANGE(""https://docs.google.com/spreadsheets/d/1Yj_ptqi66GCucihVvJfMjLAmec39IyEx_6qawtMGysU/edit?usp=sharing"",""สบก!BO35"")"),0)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IFERROR(__xludf.DUMMYFUNCTION("IMPORTRANGE(""https://docs.google.com/spreadsheets/d/1Yj_ptqi66GCucihVvJfMjLAmec39IyEx_6qawtMGysU/edit?usp=sharing"",""สบก!BP35"")"),21125)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IFERROR(__xludf.DUMMYFUNCTION("IMPORTRANGE(""https://docs.google.com/spreadsheets/d/1Yj_ptqi66GCucihVvJfMjLAmec39IyEx_6qawtMGysU/edit?usp=sharing"",""สบก!BQ35"")"),0)</f>
        <v>0</v>
      </c>
      <c r="M228" s="49"/>
      <c r="N228" s="49">
        <f ca="1">IFERROR(__xludf.DUMMYFUNCTION("IMPORTRANGE(""https://docs.google.com/spreadsheets/d/1Yj_ptqi66GCucihVvJfMjLAmec39IyEx_6qawtMGysU/edit?usp=sharing"",""สบก!BU35"")"),0)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IFERROR(__xludf.DUMMYFUNCTION("IMPORTRANGE(""https://docs.google.com/spreadsheets/d/11923uPwbBZFjjGgGUA6NLw09EwE0CqkOc4q9oUmW1yo/edit?usp=sharing"",""อุตรดิตถ์!I149"")"),15)</f>
        <v>15</v>
      </c>
      <c r="J229" s="266">
        <f ca="1">IFERROR(__xludf.DUMMYFUNCTION("IMPORTRANGE(""https://docs.google.com/spreadsheets/d/11923uPwbBZFjjGgGUA6NLw09EwE0CqkOc4q9oUmW1yo/edit?usp=sharing"",""อุตรดิตถ์!J149"")"),15)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IFERROR(__xludf.DUMMYFUNCTION("IMPORTRANGE(""https://docs.google.com/spreadsheets/d/11923uPwbBZFjjGgGUA6NLw09EwE0CqkOc4q9oUmW1yo/edit?usp=sharing"",""อุตรดิตถ์!J151"")"),0)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IFERROR(__xludf.DUMMYFUNCTION("IMPORTRANGE(""https://docs.google.com/spreadsheets/d/11923uPwbBZFjjGgGUA6NLw09EwE0CqkOc4q9oUmW1yo/edit?usp=sharing"",""อุตรดิตถ์!J152"")"),0)</f>
        <v>0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IFERROR(__xludf.DUMMYFUNCTION("IMPORTRANGE(""https://docs.google.com/spreadsheets/d/11923uPwbBZFjjGgGUA6NLw09EwE0CqkOc4q9oUmW1yo/edit?usp=sharing"",""อุตรดิตถ์!J153"")"),0)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IFERROR(__xludf.DUMMYFUNCTION("IMPORTRANGE(""https://docs.google.com/spreadsheets/d/11923uPwbBZFjjGgGUA6NLw09EwE0CqkOc4q9oUmW1yo/edit?usp=sharing"",""อุตรดิตถ์!J154"")"),0)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IFERROR(__xludf.DUMMYFUNCTION("IMPORTRANGE(""https://docs.google.com/spreadsheets/d/11923uPwbBZFjjGgGUA6NLw09EwE0CqkOc4q9oUmW1yo/edit?usp=sharing"",""อุตรดิตถ์!I155"")"),15)</f>
        <v>15</v>
      </c>
      <c r="J235" s="188">
        <f ca="1">IFERROR(__xludf.DUMMYFUNCTION("IMPORTRANGE(""https://docs.google.com/spreadsheets/d/11923uPwbBZFjjGgGUA6NLw09EwE0CqkOc4q9oUmW1yo/edit?usp=sharing"",""อุตรดิตถ์!J155"")"),15)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IFERROR(__xludf.DUMMYFUNCTION("IMPORTRANGE(""https://docs.google.com/spreadsheets/d/11923uPwbBZFjjGgGUA6NLw09EwE0CqkOc4q9oUmW1yo/edit?usp=sharing"",""อุตรดิตถ์!J156"")"),1)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IFERROR(__xludf.DUMMYFUNCTION("IMPORTRANGE(""https://docs.google.com/spreadsheets/d/11923uPwbBZFjjGgGUA6NLw09EwE0CqkOc4q9oUmW1yo/edit?usp=sharing"",""อุตรดิตถ์!J157"")"),1)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IFERROR(__xludf.DUMMYFUNCTION("IMPORTRANGE(""https://docs.google.com/spreadsheets/d/11923uPwbBZFjjGgGUA6NLw09EwE0CqkOc4q9oUmW1yo/edit?usp=sharing"",""อุตรดิตถ์!I158"")"),0)</f>
        <v>0</v>
      </c>
      <c r="J238" s="266">
        <f ca="1">IFERROR(__xludf.DUMMYFUNCTION("IMPORTRANGE(""https://docs.google.com/spreadsheets/d/11923uPwbBZFjjGgGUA6NLw09EwE0CqkOc4q9oUmW1yo/edit?usp=sharing"",""อุตรดิตถ์!J158"")"),0)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IFERROR(__xludf.DUMMYFUNCTION("IMPORTRANGE(""https://docs.google.com/spreadsheets/d/11923uPwbBZFjjGgGUA6NLw09EwE0CqkOc4q9oUmW1yo/edit?usp=sharing"",""อุตรดิตถ์!J159"")"),"")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IFERROR(__xludf.DUMMYFUNCTION("IMPORTRANGE(""https://docs.google.com/spreadsheets/d/11923uPwbBZFjjGgGUA6NLw09EwE0CqkOc4q9oUmW1yo/edit?usp=sharing"",""อุตรดิตถ์!J161"")"),0)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IFERROR(__xludf.DUMMYFUNCTION("IMPORTRANGE(""https://docs.google.com/spreadsheets/d/11923uPwbBZFjjGgGUA6NLw09EwE0CqkOc4q9oUmW1yo/edit?usp=sharing"",""อุตรดิตถ์!J162"")"),0)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IFERROR(__xludf.DUMMYFUNCTION("IMPORTRANGE(""https://docs.google.com/spreadsheets/d/11923uPwbBZFjjGgGUA6NLw09EwE0CqkOc4q9oUmW1yo/edit?usp=sharing"",""อุตรดิตถ์!J163"")"),0)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IFERROR(__xludf.DUMMYFUNCTION("IMPORTRANGE(""https://docs.google.com/spreadsheets/d/11923uPwbBZFjjGgGUA6NLw09EwE0CqkOc4q9oUmW1yo/edit?usp=sharing"",""อุตรดิตถ์!I164"")"),0)</f>
        <v>0</v>
      </c>
      <c r="J244" s="187">
        <f ca="1">IFERROR(__xludf.DUMMYFUNCTION("IMPORTRANGE(""https://docs.google.com/spreadsheets/d/11923uPwbBZFjjGgGUA6NLw09EwE0CqkOc4q9oUmW1yo/edit?usp=sharing"",""อุตรดิตถ์!J164"")"),0)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IFERROR(__xludf.DUMMYFUNCTION("IMPORTRANGE(""https://docs.google.com/spreadsheets/d/11923uPwbBZFjjGgGUA6NLw09EwE0CqkOc4q9oUmW1yo/edit?usp=sharing"",""อุตรดิตถ์!J165"")"),0)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IFERROR(__xludf.DUMMYFUNCTION("IMPORTRANGE(""https://docs.google.com/spreadsheets/d/11923uPwbBZFjjGgGUA6NLw09EwE0CqkOc4q9oUmW1yo/edit?usp=sharing"",""อุตรดิตถ์!J166"")"),0)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IFERROR(__xludf.DUMMYFUNCTION("IMPORTRANGE(""https://docs.google.com/spreadsheets/d/11923uPwbBZFjjGgGUA6NLw09EwE0CqkOc4q9oUmW1yo/edit?usp=sharing"",""อุตรดิตถ์!I169"")"),20)</f>
        <v>20</v>
      </c>
      <c r="J249" s="314">
        <f ca="1">IFERROR(__xludf.DUMMYFUNCTION("IMPORTRANGE(""https://docs.google.com/spreadsheets/d/11923uPwbBZFjjGgGUA6NLw09EwE0CqkOc4q9oUmW1yo/edit?usp=sharing"",""อุตรดิตถ์!J169"")"),10)</f>
        <v>10</v>
      </c>
      <c r="K249" s="315">
        <f ca="1">IF(I249&gt;0,J249*100/I249,0)</f>
        <v>50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203400</v>
      </c>
      <c r="M250" s="151">
        <f t="shared" ca="1" si="77"/>
        <v>103000</v>
      </c>
      <c r="N250" s="151">
        <f t="shared" ca="1" si="77"/>
        <v>80472</v>
      </c>
      <c r="O250" s="150">
        <f t="shared" ref="O250:O252" ca="1" si="78">IF(L250&gt;0,N250*100/L250,0)</f>
        <v>39.563421828908552</v>
      </c>
      <c r="P250" s="150">
        <f t="shared" ref="P250:P252" ca="1" si="79">IF(M250&gt;0,N250*100/M250,0)</f>
        <v>78.128155339805829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203400</v>
      </c>
      <c r="M252" s="87">
        <f t="shared" ca="1" si="81"/>
        <v>103000</v>
      </c>
      <c r="N252" s="87">
        <f t="shared" ca="1" si="81"/>
        <v>80472</v>
      </c>
      <c r="O252" s="155">
        <f t="shared" ca="1" si="78"/>
        <v>39.563421828908552</v>
      </c>
      <c r="P252" s="155">
        <f t="shared" ca="1" si="79"/>
        <v>78.128155339805829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IFERROR(__xludf.DUMMYFUNCTION("IMPORTRANGE(""https://docs.google.com/spreadsheets/d/1Yj_ptqi66GCucihVvJfMjLAmec39IyEx_6qawtMGysU/edit?usp=sharing"",""สบก!CB35"")"),103000)</f>
        <v>103000</v>
      </c>
      <c r="N254" s="168">
        <f ca="1">IFERROR(__xludf.DUMMYFUNCTION("IMPORTRANGE(""https://docs.google.com/spreadsheets/d/1Yj_ptqi66GCucihVvJfMjLAmec39IyEx_6qawtMGysU/edit?usp=sharing"",""สบก!CC35"")"),80472)</f>
        <v>80472</v>
      </c>
      <c r="O254" s="168">
        <f ca="1">IF(L254&gt;0,N254*100/L254,0)</f>
        <v>39.563421828908552</v>
      </c>
      <c r="P254" s="168">
        <f ca="1">IF(M254&gt;0,N254*100/M254,0)</f>
        <v>78.128155339805829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IFERROR(__xludf.DUMMYFUNCTION("IMPORTRANGE(""https://docs.google.com/spreadsheets/d/1Yj_ptqi66GCucihVvJfMjLAmec39IyEx_6qawtMGysU/edit?usp=sharing"",""สบก!BX35"")"),132000)</f>
        <v>132000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IFERROR(__xludf.DUMMYFUNCTION("IMPORTRANGE(""https://docs.google.com/spreadsheets/d/1Yj_ptqi66GCucihVvJfMjLAmec39IyEx_6qawtMGysU/edit?usp=sharing"",""สบก!BY35"")"),71400)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IFERROR(__xludf.DUMMYFUNCTION("IMPORTRANGE(""https://docs.google.com/spreadsheets/d/1Yj_ptqi66GCucihVvJfMjLAmec39IyEx_6qawtMGysU/edit?usp=sharing"",""สบก!BZ35"")"),0)</f>
        <v>0</v>
      </c>
      <c r="M258" s="49"/>
      <c r="N258" s="49">
        <f ca="1">IFERROR(__xludf.DUMMYFUNCTION("IMPORTRANGE(""https://docs.google.com/spreadsheets/d/1Yj_ptqi66GCucihVvJfMjLAmec39IyEx_6qawtMGysU/edit?usp=sharing"",""สบก!CD35"")"),0)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IFERROR(__xludf.DUMMYFUNCTION("IMPORTRANGE(""https://docs.google.com/spreadsheets/d/11923uPwbBZFjjGgGUA6NLw09EwE0CqkOc4q9oUmW1yo/edit?usp=sharing"",""อุตรดิตถ์!J175"")"),0)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IFERROR(__xludf.DUMMYFUNCTION("IMPORTRANGE(""https://docs.google.com/spreadsheets/d/11923uPwbBZFjjGgGUA6NLw09EwE0CqkOc4q9oUmW1yo/edit?usp=sharing"",""อุตรดิตถ์!J176"")"),1)</f>
        <v>1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IFERROR(__xludf.DUMMYFUNCTION("IMPORTRANGE(""https://docs.google.com/spreadsheets/d/11923uPwbBZFjjGgGUA6NLw09EwE0CqkOc4q9oUmW1yo/edit?usp=sharing"",""อุตรดิตถ์!J177"")"),1)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IFERROR(__xludf.DUMMYFUNCTION("IMPORTRANGE(""https://docs.google.com/spreadsheets/d/11923uPwbBZFjjGgGUA6NLw09EwE0CqkOc4q9oUmW1yo/edit?usp=sharing"",""อุตรดิตถ์!J178"")"),1)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IFERROR(__xludf.DUMMYFUNCTION("IMPORTRANGE(""https://docs.google.com/spreadsheets/d/11923uPwbBZFjjGgGUA6NLw09EwE0CqkOc4q9oUmW1yo/edit?usp=sharing"",""อุตรดิตถ์!I179"")"),1)</f>
        <v>1</v>
      </c>
      <c r="J264" s="188">
        <f ca="1">IFERROR(__xludf.DUMMYFUNCTION("IMPORTRANGE(""https://docs.google.com/spreadsheets/d/11923uPwbBZFjjGgGUA6NLw09EwE0CqkOc4q9oUmW1yo/edit?usp=sharing"",""อุตรดิตถ์!J179"")"),1)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IFERROR(__xludf.DUMMYFUNCTION("IMPORTRANGE(""https://docs.google.com/spreadsheets/d/11923uPwbBZFjjGgGUA6NLw09EwE0CqkOc4q9oUmW1yo/edit?usp=sharing"",""อุตรดิตถ์!I180"")"),20)</f>
        <v>20</v>
      </c>
      <c r="J265" s="188">
        <f ca="1">IFERROR(__xludf.DUMMYFUNCTION("IMPORTRANGE(""https://docs.google.com/spreadsheets/d/11923uPwbBZFjjGgGUA6NLw09EwE0CqkOc4q9oUmW1yo/edit?usp=sharing"",""อุตรดิตถ์!J180"")"),10)</f>
        <v>10</v>
      </c>
      <c r="K265" s="163">
        <f t="shared" ca="1" si="82"/>
        <v>50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IFERROR(__xludf.DUMMYFUNCTION("IMPORTRANGE(""https://docs.google.com/spreadsheets/d/11923uPwbBZFjjGgGUA6NLw09EwE0CqkOc4q9oUmW1yo/edit?usp=sharing"",""อุตรดิตถ์!I181"")"),20)</f>
        <v>20</v>
      </c>
      <c r="J266" s="188">
        <f ca="1">IFERROR(__xludf.DUMMYFUNCTION("IMPORTRANGE(""https://docs.google.com/spreadsheets/d/11923uPwbBZFjjGgGUA6NLw09EwE0CqkOc4q9oUmW1yo/edit?usp=sharing"",""อุตรดิตถ์!J181"")"),0)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IFERROR(__xludf.DUMMYFUNCTION("IMPORTRANGE(""https://docs.google.com/spreadsheets/d/11923uPwbBZFjjGgGUA6NLw09EwE0CqkOc4q9oUmW1yo/edit?usp=sharing"",""อุตรดิตถ์!I182"")"),1)</f>
        <v>1</v>
      </c>
      <c r="J267" s="188">
        <f ca="1">IFERROR(__xludf.DUMMYFUNCTION("IMPORTRANGE(""https://docs.google.com/spreadsheets/d/11923uPwbBZFjjGgGUA6NLw09EwE0CqkOc4q9oUmW1yo/edit?usp=sharing"",""อุตรดิตถ์!J182"")"),1)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IFERROR(__xludf.DUMMYFUNCTION("IMPORTRANGE(""https://docs.google.com/spreadsheets/d/11923uPwbBZFjjGgGUA6NLw09EwE0CqkOc4q9oUmW1yo/edit?usp=sharing"",""อุตรดิตถ์!J183"")"),0)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IFERROR(__xludf.DUMMYFUNCTION("IMPORTRANGE(""https://docs.google.com/spreadsheets/d/11923uPwbBZFjjGgGUA6NLw09EwE0CqkOc4q9oUmW1yo/edit?usp=sharing"",""อุตรดิตถ์!J184"")"),0)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IFERROR(__xludf.DUMMYFUNCTION("IMPORTRANGE(""https://docs.google.com/spreadsheets/d/11923uPwbBZFjjGgGUA6NLw09EwE0CqkOc4q9oUmW1yo/edit?usp=sharing"",""อุตรดิตถ์!I185"")"),0)</f>
        <v>0</v>
      </c>
      <c r="J270" s="314">
        <f ca="1">IFERROR(__xludf.DUMMYFUNCTION("IMPORTRANGE(""https://docs.google.com/spreadsheets/d/11923uPwbBZFjjGgGUA6NLw09EwE0CqkOc4q9oUmW1yo/edit?usp=sharing"",""อุตรดิตถ์!J185"")"),0)</f>
        <v>0</v>
      </c>
      <c r="K270" s="315">
        <f ca="1">IF(I270&gt;0,J270*100/I270,0)</f>
        <v>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0</v>
      </c>
      <c r="M271" s="151">
        <f t="shared" ca="1" si="83"/>
        <v>0</v>
      </c>
      <c r="N271" s="151">
        <f t="shared" ca="1" si="83"/>
        <v>0</v>
      </c>
      <c r="O271" s="150">
        <f t="shared" ref="O271:O273" ca="1" si="84">IF(L271&gt;0,N271*100/L271,0)</f>
        <v>0</v>
      </c>
      <c r="P271" s="150">
        <f t="shared" ref="P271:P273" ca="1" si="85">IF(M271&gt;0,N271*100/M271,0)</f>
        <v>0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0</v>
      </c>
      <c r="M273" s="87">
        <f t="shared" ca="1" si="87"/>
        <v>0</v>
      </c>
      <c r="N273" s="87">
        <f t="shared" ca="1" si="87"/>
        <v>0</v>
      </c>
      <c r="O273" s="155">
        <f t="shared" ca="1" si="84"/>
        <v>0</v>
      </c>
      <c r="P273" s="155">
        <f t="shared" ca="1" si="85"/>
        <v>0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IFERROR(__xludf.DUMMYFUNCTION("IMPORTRANGE(""https://docs.google.com/spreadsheets/d/1Yj_ptqi66GCucihVvJfMjLAmec39IyEx_6qawtMGysU/edit?usp=sharing"",""สบก!CK35"")"),0)</f>
        <v>0</v>
      </c>
      <c r="N275" s="168">
        <f ca="1">IFERROR(__xludf.DUMMYFUNCTION("IMPORTRANGE(""https://docs.google.com/spreadsheets/d/1Yj_ptqi66GCucihVvJfMjLAmec39IyEx_6qawtMGysU/edit?usp=sharing"",""สบก!CL35"")"),0)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IFERROR(__xludf.DUMMYFUNCTION("IMPORTRANGE(""https://docs.google.com/spreadsheets/d/1Yj_ptqi66GCucihVvJfMjLAmec39IyEx_6qawtMGysU/edit?usp=sharing"",""สบก!CG35"")"),0)</f>
        <v>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IFERROR(__xludf.DUMMYFUNCTION("IMPORTRANGE(""https://docs.google.com/spreadsheets/d/1Yj_ptqi66GCucihVvJfMjLAmec39IyEx_6qawtMGysU/edit?usp=sharing"",""สบก!CH35"")"),0)</f>
        <v>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IFERROR(__xludf.DUMMYFUNCTION("IMPORTRANGE(""https://docs.google.com/spreadsheets/d/1Yj_ptqi66GCucihVvJfMjLAmec39IyEx_6qawtMGysU/edit?usp=sharing"",""สบก!CI35"")"),0)</f>
        <v>0</v>
      </c>
      <c r="M279" s="49"/>
      <c r="N279" s="49">
        <f ca="1">IFERROR(__xludf.DUMMYFUNCTION("IMPORTRANGE(""https://docs.google.com/spreadsheets/d/1Yj_ptqi66GCucihVvJfMjLAmec39IyEx_6qawtMGysU/edit?usp=sharing"",""สบก!CM35"")"),0)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IFERROR(__xludf.DUMMYFUNCTION("IMPORTRANGE(""https://docs.google.com/spreadsheets/d/11923uPwbBZFjjGgGUA6NLw09EwE0CqkOc4q9oUmW1yo/edit?usp=sharing"",""อุตรดิตถ์!J191"")"),0)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IFERROR(__xludf.DUMMYFUNCTION("IMPORTRANGE(""https://docs.google.com/spreadsheets/d/11923uPwbBZFjjGgGUA6NLw09EwE0CqkOc4q9oUmW1yo/edit?usp=sharing"",""อุตรดิตถ์!J192"")"),0)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IFERROR(__xludf.DUMMYFUNCTION("IMPORTRANGE(""https://docs.google.com/spreadsheets/d/11923uPwbBZFjjGgGUA6NLw09EwE0CqkOc4q9oUmW1yo/edit?usp=sharing"",""อุตรดิตถ์!J193"")"),0)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IFERROR(__xludf.DUMMYFUNCTION("IMPORTRANGE(""https://docs.google.com/spreadsheets/d/11923uPwbBZFjjGgGUA6NLw09EwE0CqkOc4q9oUmW1yo/edit?usp=sharing"",""อุตรดิตถ์!J194"")"),0)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IFERROR(__xludf.DUMMYFUNCTION("IMPORTRANGE(""https://docs.google.com/spreadsheets/d/11923uPwbBZFjjGgGUA6NLw09EwE0CqkOc4q9oUmW1yo/edit?usp=sharing"",""อุตรดิตถ์!I195"")"),0)</f>
        <v>0</v>
      </c>
      <c r="J285" s="188">
        <f ca="1">IFERROR(__xludf.DUMMYFUNCTION("IMPORTRANGE(""https://docs.google.com/spreadsheets/d/11923uPwbBZFjjGgGUA6NLw09EwE0CqkOc4q9oUmW1yo/edit?usp=sharing"",""อุตรดิตถ์!J195"")"),0)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IFERROR(__xludf.DUMMYFUNCTION("IMPORTRANGE(""https://docs.google.com/spreadsheets/d/11923uPwbBZFjjGgGUA6NLw09EwE0CqkOc4q9oUmW1yo/edit?usp=sharing"",""อุตรดิตถ์!J196"")"),0)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IFERROR(__xludf.DUMMYFUNCTION("IMPORTRANGE(""https://docs.google.com/spreadsheets/d/11923uPwbBZFjjGgGUA6NLw09EwE0CqkOc4q9oUmW1yo/edit?usp=sharing"",""อุตรดิตถ์!J197"")"),0)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IFERROR(__xludf.DUMMYFUNCTION("IMPORTRANGE(""https://docs.google.com/spreadsheets/d/11923uPwbBZFjjGgGUA6NLw09EwE0CqkOc4q9oUmW1yo/edit?usp=sharing"",""อุตรดิตถ์!I199"")"),0)</f>
        <v>0</v>
      </c>
      <c r="J289" s="314">
        <f ca="1">IFERROR(__xludf.DUMMYFUNCTION("IMPORTRANGE(""https://docs.google.com/spreadsheets/d/11923uPwbBZFjjGgGUA6NLw09EwE0CqkOc4q9oUmW1yo/edit?usp=sharing"",""อุตรดิตถ์!J199"")"),0)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IFERROR(__xludf.DUMMYFUNCTION("IMPORTRANGE(""https://docs.google.com/spreadsheets/d/1Yj_ptqi66GCucihVvJfMjLAmec39IyEx_6qawtMGysU/edit?usp=sharing"",""สบก!CT35"")"),0)</f>
        <v>0</v>
      </c>
      <c r="N294" s="168">
        <f ca="1">IFERROR(__xludf.DUMMYFUNCTION("IMPORTRANGE(""https://docs.google.com/spreadsheets/d/1Yj_ptqi66GCucihVvJfMjLAmec39IyEx_6qawtMGysU/edit?usp=sharing"",""สบก!CU35"")"),0)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IFERROR(__xludf.DUMMYFUNCTION("IMPORTRANGE(""https://docs.google.com/spreadsheets/d/1Yj_ptqi66GCucihVvJfMjLAmec39IyEx_6qawtMGysU/edit?usp=sharing"",""สบก!CP35"")"),0)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IFERROR(__xludf.DUMMYFUNCTION("IMPORTRANGE(""https://docs.google.com/spreadsheets/d/1Yj_ptqi66GCucihVvJfMjLAmec39IyEx_6qawtMGysU/edit?usp=sharing"",""สบก!CQ35"")"),0)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IFERROR(__xludf.DUMMYFUNCTION("IMPORTRANGE(""https://docs.google.com/spreadsheets/d/1Yj_ptqi66GCucihVvJfMjLAmec39IyEx_6qawtMGysU/edit?usp=sharing"",""สบก!CR35"")"),0)</f>
        <v>0</v>
      </c>
      <c r="M298" s="49"/>
      <c r="N298" s="49">
        <f ca="1">IFERROR(__xludf.DUMMYFUNCTION("IMPORTRANGE(""https://docs.google.com/spreadsheets/d/1Yj_ptqi66GCucihVvJfMjLAmec39IyEx_6qawtMGysU/edit?usp=sharing"",""สบก!CV35"")"),0)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IFERROR(__xludf.DUMMYFUNCTION("IMPORTRANGE(""https://docs.google.com/spreadsheets/d/11923uPwbBZFjjGgGUA6NLw09EwE0CqkOc4q9oUmW1yo/edit?usp=sharing"",""อุตรดิตถ์!J205"")"),0)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IFERROR(__xludf.DUMMYFUNCTION("IMPORTRANGE(""https://docs.google.com/spreadsheets/d/11923uPwbBZFjjGgGUA6NLw09EwE0CqkOc4q9oUmW1yo/edit?usp=sharing"",""อุตรดิตถ์!J206"")"),0)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IFERROR(__xludf.DUMMYFUNCTION("IMPORTRANGE(""https://docs.google.com/spreadsheets/d/11923uPwbBZFjjGgGUA6NLw09EwE0CqkOc4q9oUmW1yo/edit?usp=sharing"",""อุตรดิตถ์!J207"")"),0)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IFERROR(__xludf.DUMMYFUNCTION("IMPORTRANGE(""https://docs.google.com/spreadsheets/d/11923uPwbBZFjjGgGUA6NLw09EwE0CqkOc4q9oUmW1yo/edit?usp=sharing"",""อุตรดิตถ์!J208"")"),0)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IFERROR(__xludf.DUMMYFUNCTION("IMPORTRANGE(""https://docs.google.com/spreadsheets/d/11923uPwbBZFjjGgGUA6NLw09EwE0CqkOc4q9oUmW1yo/edit?usp=sharing"",""อุตรดิตถ์!I209"")"),0)</f>
        <v>0</v>
      </c>
      <c r="J304" s="203">
        <f ca="1">IFERROR(__xludf.DUMMYFUNCTION("IMPORTRANGE(""https://docs.google.com/spreadsheets/d/11923uPwbBZFjjGgGUA6NLw09EwE0CqkOc4q9oUmW1yo/edit?usp=sharing"",""อุตรดิตถ์!J209"")"),0)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IFERROR(__xludf.DUMMYFUNCTION("IMPORTRANGE(""https://docs.google.com/spreadsheets/d/11923uPwbBZFjjGgGUA6NLw09EwE0CqkOc4q9oUmW1yo/edit?usp=sharing"",""อุตรดิตถ์!I211"")"),0)</f>
        <v>0</v>
      </c>
      <c r="J306" s="203">
        <f ca="1">IFERROR(__xludf.DUMMYFUNCTION("IMPORTRANGE(""https://docs.google.com/spreadsheets/d/11923uPwbBZFjjGgGUA6NLw09EwE0CqkOc4q9oUmW1yo/edit?usp=sharing"",""อุตรดิตถ์!J211"")"),0)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IFERROR(__xludf.DUMMYFUNCTION("IMPORTRANGE(""https://docs.google.com/spreadsheets/d/11923uPwbBZFjjGgGUA6NLw09EwE0CqkOc4q9oUmW1yo/edit?usp=sharing"",""อุตรดิตถ์!J212"")"),0)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IFERROR(__xludf.DUMMYFUNCTION("IMPORTRANGE(""https://docs.google.com/spreadsheets/d/11923uPwbBZFjjGgGUA6NLw09EwE0CqkOc4q9oUmW1yo/edit?usp=sharing"",""อุตรดิตถ์!J213"")"),0)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IFERROR(__xludf.DUMMYFUNCTION("IMPORTRANGE(""https://docs.google.com/spreadsheets/d/11923uPwbBZFjjGgGUA6NLw09EwE0CqkOc4q9oUmW1yo/edit?usp=sharing"",""อุตรดิตถ์!I214"")"),0)</f>
        <v>0</v>
      </c>
      <c r="J309" s="331">
        <f ca="1">IFERROR(__xludf.DUMMYFUNCTION("IMPORTRANGE(""https://docs.google.com/spreadsheets/d/11923uPwbBZFjjGgGUA6NLw09EwE0CqkOc4q9oUmW1yo/edit?usp=sharing"",""อุตรดิตถ์!J214"")"),0)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IFERROR(__xludf.DUMMYFUNCTION("IMPORTRANGE(""https://docs.google.com/spreadsheets/d/1Yj_ptqi66GCucihVvJfMjLAmec39IyEx_6qawtMGysU/edit?usp=sharing"",""สบก!DC35"")"),0)</f>
        <v>0</v>
      </c>
      <c r="N314" s="168">
        <f ca="1">IFERROR(__xludf.DUMMYFUNCTION("IMPORTRANGE(""https://docs.google.com/spreadsheets/d/1Yj_ptqi66GCucihVvJfMjLAmec39IyEx_6qawtMGysU/edit?usp=sharing"",""สบก!DD35"")"),0)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IFERROR(__xludf.DUMMYFUNCTION("IMPORTRANGE(""https://docs.google.com/spreadsheets/d/1Yj_ptqi66GCucihVvJfMjLAmec39IyEx_6qawtMGysU/edit?usp=sharing"",""สบก!CY35"")"),0)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IFERROR(__xludf.DUMMYFUNCTION("IMPORTRANGE(""https://docs.google.com/spreadsheets/d/1Yj_ptqi66GCucihVvJfMjLAmec39IyEx_6qawtMGysU/edit?usp=sharing"",""สบก!CZ35"")"),0)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IFERROR(__xludf.DUMMYFUNCTION("IMPORTRANGE(""https://docs.google.com/spreadsheets/d/1Yj_ptqi66GCucihVvJfMjLAmec39IyEx_6qawtMGysU/edit?usp=sharing"",""สบก!DA35"")"),0)</f>
        <v>0</v>
      </c>
      <c r="M318" s="49"/>
      <c r="N318" s="49">
        <f ca="1">IFERROR(__xludf.DUMMYFUNCTION("IMPORTRANGE(""https://docs.google.com/spreadsheets/d/1Yj_ptqi66GCucihVvJfMjLAmec39IyEx_6qawtMGysU/edit?usp=sharing"",""สบก!DE35"")"),0)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IFERROR(__xludf.DUMMYFUNCTION("IMPORTRANGE(""https://docs.google.com/spreadsheets/d/11923uPwbBZFjjGgGUA6NLw09EwE0CqkOc4q9oUmW1yo/edit?usp=sharing"",""อุตรดิตถ์!J220"")"),0)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IFERROR(__xludf.DUMMYFUNCTION("IMPORTRANGE(""https://docs.google.com/spreadsheets/d/11923uPwbBZFjjGgGUA6NLw09EwE0CqkOc4q9oUmW1yo/edit?usp=sharing"",""อุตรดิตถ์!J221"")"),0)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IFERROR(__xludf.DUMMYFUNCTION("IMPORTRANGE(""https://docs.google.com/spreadsheets/d/11923uPwbBZFjjGgGUA6NLw09EwE0CqkOc4q9oUmW1yo/edit?usp=sharing"",""อุตรดิตถ์!J222"")"),0)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IFERROR(__xludf.DUMMYFUNCTION("IMPORTRANGE(""https://docs.google.com/spreadsheets/d/11923uPwbBZFjjGgGUA6NLw09EwE0CqkOc4q9oUmW1yo/edit?usp=sharing"",""อุตรดิตถ์!J223"")"),0)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IFERROR(__xludf.DUMMYFUNCTION("IMPORTRANGE(""https://docs.google.com/spreadsheets/d/11923uPwbBZFjjGgGUA6NLw09EwE0CqkOc4q9oUmW1yo/edit?usp=sharing"",""อุตรดิตถ์!I224"")"),0)</f>
        <v>0</v>
      </c>
      <c r="J324" s="203">
        <f ca="1">IFERROR(__xludf.DUMMYFUNCTION("IMPORTRANGE(""https://docs.google.com/spreadsheets/d/11923uPwbBZFjjGgGUA6NLw09EwE0CqkOc4q9oUmW1yo/edit?usp=sharing"",""อุตรดิตถ์!J224"")"),0)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IFERROR(__xludf.DUMMYFUNCTION("IMPORTRANGE(""https://docs.google.com/spreadsheets/d/11923uPwbBZFjjGgGUA6NLw09EwE0CqkOc4q9oUmW1yo/edit?usp=sharing"",""อุตรดิตถ์!J225"")"),0)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IFERROR(__xludf.DUMMYFUNCTION("IMPORTRANGE(""https://docs.google.com/spreadsheets/d/11923uPwbBZFjjGgGUA6NLw09EwE0CqkOc4q9oUmW1yo/edit?usp=sharing"",""อุตรดิตถ์!J226"")"),0)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IFERROR(__xludf.DUMMYFUNCTION("IMPORTRANGE(""https://docs.google.com/spreadsheets/d/11923uPwbBZFjjGgGUA6NLw09EwE0CqkOc4q9oUmW1yo/edit?usp=sharing"",""อุตรดิตถ์!I228"")"),170)</f>
        <v>170</v>
      </c>
      <c r="J328" s="337">
        <f ca="1">IFERROR(__xludf.DUMMYFUNCTION("IMPORTRANGE(""https://docs.google.com/spreadsheets/d/11923uPwbBZFjjGgGUA6NLw09EwE0CqkOc4q9oUmW1yo/edit?usp=sharing"",""อุตรดิตถ์!J228"")"),66)</f>
        <v>66</v>
      </c>
      <c r="K328" s="315">
        <f ca="1">IF(I328&gt;0,J328*100/I328,0)</f>
        <v>38.823529411764703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906300</v>
      </c>
      <c r="M329" s="151">
        <f t="shared" ca="1" si="98"/>
        <v>467750</v>
      </c>
      <c r="N329" s="151">
        <f t="shared" ca="1" si="98"/>
        <v>398422</v>
      </c>
      <c r="O329" s="150">
        <f t="shared" ref="O329:O331" ca="1" si="99">IF(L329&gt;0,N329*100/L329,0)</f>
        <v>43.961381441023946</v>
      </c>
      <c r="P329" s="150">
        <f t="shared" ref="P329:P331" ca="1" si="100">IF(M329&gt;0,N329*100/M329,0)</f>
        <v>85.178407268840189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906300</v>
      </c>
      <c r="M331" s="87">
        <f t="shared" ca="1" si="102"/>
        <v>467750</v>
      </c>
      <c r="N331" s="87">
        <f t="shared" ca="1" si="102"/>
        <v>398422</v>
      </c>
      <c r="O331" s="155">
        <f t="shared" ca="1" si="99"/>
        <v>43.961381441023946</v>
      </c>
      <c r="P331" s="155">
        <f t="shared" ca="1" si="100"/>
        <v>85.178407268840189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906300</v>
      </c>
      <c r="M333" s="167">
        <f ca="1">IFERROR(__xludf.DUMMYFUNCTION("IMPORTRANGE(""https://docs.google.com/spreadsheets/d/1Yj_ptqi66GCucihVvJfMjLAmec39IyEx_6qawtMGysU/edit?usp=sharing"",""สบก!DL35"")"),467750)</f>
        <v>467750</v>
      </c>
      <c r="N333" s="168">
        <f ca="1">IFERROR(__xludf.DUMMYFUNCTION("IMPORTRANGE(""https://docs.google.com/spreadsheets/d/1Yj_ptqi66GCucihVvJfMjLAmec39IyEx_6qawtMGysU/edit?usp=sharing"",""สบก!DM35"")"),398422)</f>
        <v>398422</v>
      </c>
      <c r="O333" s="168">
        <f ca="1">IF(L333&gt;0,N333*100/L333,0)</f>
        <v>43.961381441023946</v>
      </c>
      <c r="P333" s="168">
        <f ca="1">IF(M333&gt;0,N333*100/M333,0)</f>
        <v>85.178407268840189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IFERROR(__xludf.DUMMYFUNCTION("IMPORTRANGE(""https://docs.google.com/spreadsheets/d/1Yj_ptqi66GCucihVvJfMjLAmec39IyEx_6qawtMGysU/edit?usp=sharing"",""สบก!DH35"")"),614000)</f>
        <v>614000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IFERROR(__xludf.DUMMYFUNCTION("IMPORTRANGE(""https://docs.google.com/spreadsheets/d/1Yj_ptqi66GCucihVvJfMjLAmec39IyEx_6qawtMGysU/edit?usp=sharing"",""สบก!DI35"")"),292300)</f>
        <v>292300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IFERROR(__xludf.DUMMYFUNCTION("IMPORTRANGE(""https://docs.google.com/spreadsheets/d/1Yj_ptqi66GCucihVvJfMjLAmec39IyEx_6qawtMGysU/edit?usp=sharing"",""สบก!DJ35"")"),0)</f>
        <v>0</v>
      </c>
      <c r="M337" s="49"/>
      <c r="N337" s="49">
        <f ca="1">IFERROR(__xludf.DUMMYFUNCTION("IMPORTRANGE(""https://docs.google.com/spreadsheets/d/1Yj_ptqi66GCucihVvJfMjLAmec39IyEx_6qawtMGysU/edit?usp=sharing"",""สบก!DN35"")"),0)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IFERROR(__xludf.DUMMYFUNCTION("IMPORTRANGE(""https://docs.google.com/spreadsheets/d/11923uPwbBZFjjGgGUA6NLw09EwE0CqkOc4q9oUmW1yo/edit?usp=sharing"",""อุตรดิตถ์!I234"")"),0)</f>
        <v>0</v>
      </c>
      <c r="J339" s="187">
        <f ca="1">IFERROR(__xludf.DUMMYFUNCTION("IMPORTRANGE(""https://docs.google.com/spreadsheets/d/11923uPwbBZFjjGgGUA6NLw09EwE0CqkOc4q9oUmW1yo/edit?usp=sharing"",""อุตรดิตถ์!J234"")"),34)</f>
        <v>34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IFERROR(__xludf.DUMMYFUNCTION("IMPORTRANGE(""https://docs.google.com/spreadsheets/d/11923uPwbBZFjjGgGUA6NLw09EwE0CqkOc4q9oUmW1yo/edit?usp=sharing"",""อุตรดิตถ์!I235"")"),800)</f>
        <v>800</v>
      </c>
      <c r="J340" s="187">
        <f ca="1">IFERROR(__xludf.DUMMYFUNCTION("IMPORTRANGE(""https://docs.google.com/spreadsheets/d/11923uPwbBZFjjGgGUA6NLw09EwE0CqkOc4q9oUmW1yo/edit?usp=sharing"",""อุตรดิตถ์!J235"")"),163.01)</f>
        <v>163.01</v>
      </c>
      <c r="K340" s="340">
        <f t="shared" ca="1" si="103"/>
        <v>20.376249999999999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IFERROR(__xludf.DUMMYFUNCTION("IMPORTRANGE(""https://docs.google.com/spreadsheets/d/11923uPwbBZFjjGgGUA6NLw09EwE0CqkOc4q9oUmW1yo/edit?usp=sharing"",""อุตรดิตถ์!I236"")"),170)</f>
        <v>170</v>
      </c>
      <c r="J341" s="187">
        <f ca="1">IFERROR(__xludf.DUMMYFUNCTION("IMPORTRANGE(""https://docs.google.com/spreadsheets/d/11923uPwbBZFjjGgGUA6NLw09EwE0CqkOc4q9oUmW1yo/edit?usp=sharing"",""อุตรดิตถ์!J236"")"),91)</f>
        <v>91</v>
      </c>
      <c r="K341" s="340">
        <f t="shared" ca="1" si="103"/>
        <v>53.529411764705884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IFERROR(__xludf.DUMMYFUNCTION("IMPORTRANGE(""https://docs.google.com/spreadsheets/d/11923uPwbBZFjjGgGUA6NLw09EwE0CqkOc4q9oUmW1yo/edit?usp=sharing"",""อุตรดิตถ์!I237"")"),0)</f>
        <v>0</v>
      </c>
      <c r="J342" s="187">
        <f ca="1">IFERROR(__xludf.DUMMYFUNCTION("IMPORTRANGE(""https://docs.google.com/spreadsheets/d/11923uPwbBZFjjGgGUA6NLw09EwE0CqkOc4q9oUmW1yo/edit?usp=sharing"",""อุตรดิตถ์!J237"")"),955.849999999999)</f>
        <v>955.849999999999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IFERROR(__xludf.DUMMYFUNCTION("IMPORTRANGE(""https://docs.google.com/spreadsheets/d/11923uPwbBZFjjGgGUA6NLw09EwE0CqkOc4q9oUmW1yo/edit?usp=sharing"",""อุตรดิตถ์!I238"")"),170)</f>
        <v>170</v>
      </c>
      <c r="J343" s="187">
        <f ca="1">IFERROR(__xludf.DUMMYFUNCTION("IMPORTRANGE(""https://docs.google.com/spreadsheets/d/11923uPwbBZFjjGgGUA6NLw09EwE0CqkOc4q9oUmW1yo/edit?usp=sharing"",""อุตรดิตถ์!J238"")"),0)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IFERROR(__xludf.DUMMYFUNCTION("IMPORTRANGE(""https://docs.google.com/spreadsheets/d/11923uPwbBZFjjGgGUA6NLw09EwE0CqkOc4q9oUmW1yo/edit?usp=sharing"",""อุตรดิตถ์!I239"")"),0)</f>
        <v>0</v>
      </c>
      <c r="J344" s="187">
        <f ca="1">IFERROR(__xludf.DUMMYFUNCTION("IMPORTRANGE(""https://docs.google.com/spreadsheets/d/11923uPwbBZFjjGgGUA6NLw09EwE0CqkOc4q9oUmW1yo/edit?usp=sharing"",""อุตรดิตถ์!J239"")"),0)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IFERROR(__xludf.DUMMYFUNCTION("IMPORTRANGE(""https://docs.google.com/spreadsheets/d/11923uPwbBZFjjGgGUA6NLw09EwE0CqkOc4q9oUmW1yo/edit?usp=sharing"",""อุตรดิตถ์!I240"")"),170)</f>
        <v>170</v>
      </c>
      <c r="J345" s="187">
        <f ca="1">IFERROR(__xludf.DUMMYFUNCTION("IMPORTRANGE(""https://docs.google.com/spreadsheets/d/11923uPwbBZFjjGgGUA6NLw09EwE0CqkOc4q9oUmW1yo/edit?usp=sharing"",""อุตรดิตถ์!J240"")"),66)</f>
        <v>66</v>
      </c>
      <c r="K345" s="340">
        <f t="shared" ca="1" si="103"/>
        <v>38.823529411764703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IFERROR(__xludf.DUMMYFUNCTION("IMPORTRANGE(""https://docs.google.com/spreadsheets/d/11923uPwbBZFjjGgGUA6NLw09EwE0CqkOc4q9oUmW1yo/edit?usp=sharing"",""อุตรดิตถ์!I241"")"),0)</f>
        <v>0</v>
      </c>
      <c r="J346" s="187">
        <f ca="1">IFERROR(__xludf.DUMMYFUNCTION("IMPORTRANGE(""https://docs.google.com/spreadsheets/d/11923uPwbBZFjjGgGUA6NLw09EwE0CqkOc4q9oUmW1yo/edit?usp=sharing"",""อุตรดิตถ์!J241"")"),774.53)</f>
        <v>774.53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IFERROR(__xludf.DUMMYFUNCTION("IMPORTRANGE(""https://docs.google.com/spreadsheets/d/11923uPwbBZFjjGgGUA6NLw09EwE0CqkOc4q9oUmW1yo/edit?usp=sharing"",""อุตรดิตถ์!L242"")"),2205927)</f>
        <v>2205927</v>
      </c>
      <c r="M347" s="356"/>
      <c r="N347" s="356">
        <f ca="1">IFERROR(__xludf.DUMMYFUNCTION("IMPORTRANGE(""https://docs.google.com/spreadsheets/d/11923uPwbBZFjjGgGUA6NLw09EwE0CqkOc4q9oUmW1yo/edit?usp=sharing"",""อุตรดิตถ์!M242"")"),335382.4)</f>
        <v>335382.40000000002</v>
      </c>
      <c r="O347" s="356">
        <f ca="1">+IF(L347&gt;0,N347*100/L347,0)</f>
        <v>15.203694410558466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IFERROR(__xludf.DUMMYFUNCTION("IMPORTRANGE(""https://docs.google.com/spreadsheets/d/11923uPwbBZFjjGgGUA6NLw09EwE0CqkOc4q9oUmW1yo/edit?usp=sharing"",""อุตรดิตถ์!I244"")"),30)</f>
        <v>30</v>
      </c>
      <c r="J349" s="369">
        <f ca="1">IFERROR(__xludf.DUMMYFUNCTION("IMPORTRANGE(""https://docs.google.com/spreadsheets/d/11923uPwbBZFjjGgGUA6NLw09EwE0CqkOc4q9oUmW1yo/edit?usp=sharing"",""อุตรดิตถ์!J244"")"),0)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IFERROR(__xludf.DUMMYFUNCTION("IMPORTRANGE(""https://docs.google.com/spreadsheets/d/11923uPwbBZFjjGgGUA6NLw09EwE0CqkOc4q9oUmW1yo/edit?usp=sharing"",""อุตรดิตถ์!L244"")"),257760)</f>
        <v>257760</v>
      </c>
      <c r="M349" s="371"/>
      <c r="N349" s="371">
        <f ca="1">IFERROR(__xludf.DUMMYFUNCTION("IMPORTRANGE(""https://docs.google.com/spreadsheets/d/11923uPwbBZFjjGgGUA6NLw09EwE0CqkOc4q9oUmW1yo/edit?usp=sharing"",""อุตรดิตถ์!M244"")"),51980)</f>
        <v>51980</v>
      </c>
      <c r="O349" s="371">
        <f ca="1">+IF(L349&gt;0,N349*100/L349,0)</f>
        <v>20.166045934202359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IFERROR(__xludf.DUMMYFUNCTION("IMPORTRANGE(""https://docs.google.com/spreadsheets/d/11923uPwbBZFjjGgGUA6NLw09EwE0CqkOc4q9oUmW1yo/edit?usp=sharing"",""อุตรดิตถ์!I245"")"),30)</f>
        <v>30</v>
      </c>
      <c r="J350" s="369">
        <f ca="1">IFERROR(__xludf.DUMMYFUNCTION("IMPORTRANGE(""https://docs.google.com/spreadsheets/d/11923uPwbBZFjjGgGUA6NLw09EwE0CqkOc4q9oUmW1yo/edit?usp=sharing"",""อุตรดิตถ์!J245"")"),0)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IFERROR(__xludf.DUMMYFUNCTION("IMPORTRANGE(""https://docs.google.com/spreadsheets/d/11923uPwbBZFjjGgGUA6NLw09EwE0CqkOc4q9oUmW1yo/edit?usp=sharing"",""อุตรดิตถ์!L246"")"),0)</f>
        <v>0</v>
      </c>
      <c r="M351" s="164"/>
      <c r="N351" s="164">
        <f ca="1">IFERROR(__xludf.DUMMYFUNCTION("IMPORTRANGE(""https://docs.google.com/spreadsheets/d/11923uPwbBZFjjGgGUA6NLw09EwE0CqkOc4q9oUmW1yo/edit?usp=sharing"",""อุตรดิตถ์!M246"")"),0)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IFERROR(__xludf.DUMMYFUNCTION("IMPORTRANGE(""https://docs.google.com/spreadsheets/d/11923uPwbBZFjjGgGUA6NLw09EwE0CqkOc4q9oUmW1yo/edit?usp=sharing"",""อุตรดิตถ์!L247"")"),257760)</f>
        <v>257760</v>
      </c>
      <c r="M352" s="165"/>
      <c r="N352" s="164">
        <f ca="1">IFERROR(__xludf.DUMMYFUNCTION("IMPORTRANGE(""https://docs.google.com/spreadsheets/d/11923uPwbBZFjjGgGUA6NLw09EwE0CqkOc4q9oUmW1yo/edit?usp=sharing"",""อุตรดิตถ์!M247"")"),51980)</f>
        <v>51980</v>
      </c>
      <c r="O352" s="165">
        <f t="shared" ca="1" si="105"/>
        <v>20.166045934202359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IFERROR(__xludf.DUMMYFUNCTION("IMPORTRANGE(""https://docs.google.com/spreadsheets/d/11923uPwbBZFjjGgGUA6NLw09EwE0CqkOc4q9oUmW1yo/edit?usp=sharing"",""อุตรดิตถ์!L248"")"),0)</f>
        <v>0</v>
      </c>
      <c r="M353" s="168"/>
      <c r="N353" s="168">
        <f ca="1">IFERROR(__xludf.DUMMYFUNCTION("IMPORTRANGE(""https://docs.google.com/spreadsheets/d/11923uPwbBZFjjGgGUA6NLw09EwE0CqkOc4q9oUmW1yo/edit?usp=sharing"",""อุตรดิตถ์!M248"")"),0)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IFERROR(__xludf.DUMMYFUNCTION("IMPORTRANGE(""https://docs.google.com/spreadsheets/d/11923uPwbBZFjjGgGUA6NLw09EwE0CqkOc4q9oUmW1yo/edit?usp=sharing"",""อุตรดิตถ์!L249"")"),257760)</f>
        <v>257760</v>
      </c>
      <c r="M354" s="168"/>
      <c r="N354" s="167">
        <f ca="1">IFERROR(__xludf.DUMMYFUNCTION("IMPORTRANGE(""https://docs.google.com/spreadsheets/d/11923uPwbBZFjjGgGUA6NLw09EwE0CqkOc4q9oUmW1yo/edit?usp=sharing"",""อุตรดิตถ์!M249"")"),51980)</f>
        <v>51980</v>
      </c>
      <c r="O354" s="168">
        <f t="shared" ca="1" si="105"/>
        <v>20.166045934202359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IFERROR(__xludf.DUMMYFUNCTION("IMPORTRANGE(""https://docs.google.com/spreadsheets/d/11923uPwbBZFjjGgGUA6NLw09EwE0CqkOc4q9oUmW1yo/edit?usp=sharing"",""อุตรดิตถ์!M250"")"),19575)</f>
        <v>19575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IFERROR(__xludf.DUMMYFUNCTION("IMPORTRANGE(""https://docs.google.com/spreadsheets/d/11923uPwbBZFjjGgGUA6NLw09EwE0CqkOc4q9oUmW1yo/edit?usp=sharing"",""อุตรดิตถ์!M251"")"),0)</f>
        <v>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IFERROR(__xludf.DUMMYFUNCTION("IMPORTRANGE(""https://docs.google.com/spreadsheets/d/11923uPwbBZFjjGgGUA6NLw09EwE0CqkOc4q9oUmW1yo/edit?usp=sharing"",""อุตรดิตถ์!M252"")"),31565)</f>
        <v>31565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IFERROR(__xludf.DUMMYFUNCTION("IMPORTRANGE(""https://docs.google.com/spreadsheets/d/11923uPwbBZFjjGgGUA6NLw09EwE0CqkOc4q9oUmW1yo/edit?usp=sharing"",""อุตรดิตถ์!M253"")"),840)</f>
        <v>840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IFERROR(__xludf.DUMMYFUNCTION("IMPORTRANGE(""https://docs.google.com/spreadsheets/d/11923uPwbBZFjjGgGUA6NLw09EwE0CqkOc4q9oUmW1yo/edit?usp=sharing"",""อุตรดิตถ์!J255"")"),0)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IFERROR(__xludf.DUMMYFUNCTION("IMPORTRANGE(""https://docs.google.com/spreadsheets/d/11923uPwbBZFjjGgGUA6NLw09EwE0CqkOc4q9oUmW1yo/edit?usp=sharing"",""อุตรดิตถ์!J256"")"),1)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IFERROR(__xludf.DUMMYFUNCTION("IMPORTRANGE(""https://docs.google.com/spreadsheets/d/11923uPwbBZFjjGgGUA6NLw09EwE0CqkOc4q9oUmW1yo/edit?usp=sharing"",""อุตรดิตถ์!J257"")"),1)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IFERROR(__xludf.DUMMYFUNCTION("IMPORTRANGE(""https://docs.google.com/spreadsheets/d/11923uPwbBZFjjGgGUA6NLw09EwE0CqkOc4q9oUmW1yo/edit?usp=sharing"",""อุตรดิตถ์!J258"")"),1)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IFERROR(__xludf.DUMMYFUNCTION("IMPORTRANGE(""https://docs.google.com/spreadsheets/d/11923uPwbBZFjjGgGUA6NLw09EwE0CqkOc4q9oUmW1yo/edit?usp=sharing"",""อุตรดิตถ์!J166"")"),0)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IFERROR(__xludf.DUMMYFUNCTION("IMPORTRANGE(""https://docs.google.com/spreadsheets/d/11923uPwbBZFjjGgGUA6NLw09EwE0CqkOc4q9oUmW1yo/edit?usp=sharing"",""อุตรดิตถ์!J166"")"),0)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IFERROR(__xludf.DUMMYFUNCTION("IMPORTRANGE(""https://docs.google.com/spreadsheets/d/11923uPwbBZFjjGgGUA6NLw09EwE0CqkOc4q9oUmW1yo/edit?usp=sharing"",""อุตรดิตถ์!J166"")"),0)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IFERROR(__xludf.DUMMYFUNCTION("IMPORTRANGE(""https://docs.google.com/spreadsheets/d/11923uPwbBZFjjGgGUA6NLw09EwE0CqkOc4q9oUmW1yo/edit?usp=sharing"",""อุตรดิตถ์!J166"")"),0)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IFERROR(__xludf.DUMMYFUNCTION("IMPORTRANGE(""https://docs.google.com/spreadsheets/d/11923uPwbBZFjjGgGUA6NLw09EwE0CqkOc4q9oUmW1yo/edit?usp=sharing"",""อุตรดิตถ์!I263"")"),30)</f>
        <v>30</v>
      </c>
      <c r="J368" s="187">
        <f ca="1">IFERROR(__xludf.DUMMYFUNCTION("IMPORTRANGE(""https://docs.google.com/spreadsheets/d/11923uPwbBZFjjGgGUA6NLw09EwE0CqkOc4q9oUmW1yo/edit?usp=sharing"",""อุตรดิตถ์!J263"")"),0)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IFERROR(__xludf.DUMMYFUNCTION("IMPORTRANGE(""https://docs.google.com/spreadsheets/d/11923uPwbBZFjjGgGUA6NLw09EwE0CqkOc4q9oUmW1yo/edit?usp=sharing"",""อุตรดิตถ์!I164"")"),0)</f>
        <v>0</v>
      </c>
      <c r="J369" s="203">
        <f ca="1">IFERROR(__xludf.DUMMYFUNCTION("IMPORTRANGE(""https://docs.google.com/spreadsheets/d/11923uPwbBZFjjGgGUA6NLw09EwE0CqkOc4q9oUmW1yo/edit?usp=sharing"",""อุตรดิตถ์!J164"")"),0)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IFERROR(__xludf.DUMMYFUNCTION("IMPORTRANGE(""https://docs.google.com/spreadsheets/d/11923uPwbBZFjjGgGUA6NLw09EwE0CqkOc4q9oUmW1yo/edit?usp=sharing"",""อุตรดิตถ์!I265"")"),30)</f>
        <v>30</v>
      </c>
      <c r="J370" s="203">
        <f ca="1">IFERROR(__xludf.DUMMYFUNCTION("IMPORTRANGE(""https://docs.google.com/spreadsheets/d/11923uPwbBZFjjGgGUA6NLw09EwE0CqkOc4q9oUmW1yo/edit?usp=sharing"",""อุตรดิตถ์!J265"")"),30)</f>
        <v>30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IFERROR(__xludf.DUMMYFUNCTION("IMPORTRANGE(""https://docs.google.com/spreadsheets/d/11923uPwbBZFjjGgGUA6NLw09EwE0CqkOc4q9oUmW1yo/edit?usp=sharing"",""อุตรดิตถ์!I164"")"),0)</f>
        <v>0</v>
      </c>
      <c r="J371" s="188">
        <f ca="1">IFERROR(__xludf.DUMMYFUNCTION("IMPORTRANGE(""https://docs.google.com/spreadsheets/d/11923uPwbBZFjjGgGUA6NLw09EwE0CqkOc4q9oUmW1yo/edit?usp=sharing"",""อุตรดิตถ์!J164"")"),0)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IFERROR(__xludf.DUMMYFUNCTION("IMPORTRANGE(""https://docs.google.com/spreadsheets/d/11923uPwbBZFjjGgGUA6NLw09EwE0CqkOc4q9oUmW1yo/edit?usp=sharing"",""อุตรดิตถ์!I267"")"),30)</f>
        <v>30</v>
      </c>
      <c r="J372" s="188">
        <f ca="1">IFERROR(__xludf.DUMMYFUNCTION("IMPORTRANGE(""https://docs.google.com/spreadsheets/d/11923uPwbBZFjjGgGUA6NLw09EwE0CqkOc4q9oUmW1yo/edit?usp=sharing"",""อุตรดิตถ์!J267"")"),0)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IFERROR(__xludf.DUMMYFUNCTION("IMPORTRANGE(""https://docs.google.com/spreadsheets/d/11923uPwbBZFjjGgGUA6NLw09EwE0CqkOc4q9oUmW1yo/edit?usp=sharing"",""อุตรดิตถ์!I164"")"),0)</f>
        <v>0</v>
      </c>
      <c r="J373" s="203">
        <f ca="1">IFERROR(__xludf.DUMMYFUNCTION("IMPORTRANGE(""https://docs.google.com/spreadsheets/d/11923uPwbBZFjjGgGUA6NLw09EwE0CqkOc4q9oUmW1yo/edit?usp=sharing"",""อุตรดิตถ์!J164"")"),0)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IFERROR(__xludf.DUMMYFUNCTION("IMPORTRANGE(""https://docs.google.com/spreadsheets/d/11923uPwbBZFjjGgGUA6NLw09EwE0CqkOc4q9oUmW1yo/edit?usp=sharing"",""อุตรดิตถ์!I164"")"),0)</f>
        <v>0</v>
      </c>
      <c r="J374" s="187">
        <f ca="1">IFERROR(__xludf.DUMMYFUNCTION("IMPORTRANGE(""https://docs.google.com/spreadsheets/d/11923uPwbBZFjjGgGUA6NLw09EwE0CqkOc4q9oUmW1yo/edit?usp=sharing"",""อุตรดิตถ์!J164"")"),0)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IFERROR(__xludf.DUMMYFUNCTION("IMPORTRANGE(""https://docs.google.com/spreadsheets/d/11923uPwbBZFjjGgGUA6NLw09EwE0CqkOc4q9oUmW1yo/edit?usp=sharing"",""อุตรดิตถ์!I270"")"),30)</f>
        <v>30</v>
      </c>
      <c r="J375" s="187">
        <f ca="1">IFERROR(__xludf.DUMMYFUNCTION("IMPORTRANGE(""https://docs.google.com/spreadsheets/d/11923uPwbBZFjjGgGUA6NLw09EwE0CqkOc4q9oUmW1yo/edit?usp=sharing"",""อุตรดิตถ์!J270"")"),0)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IFERROR(__xludf.DUMMYFUNCTION("IMPORTRANGE(""https://docs.google.com/spreadsheets/d/11923uPwbBZFjjGgGUA6NLw09EwE0CqkOc4q9oUmW1yo/edit?usp=sharing"",""อุตรดิตถ์!I271"")"),20)</f>
        <v>20</v>
      </c>
      <c r="J376" s="188">
        <f ca="1">IFERROR(__xludf.DUMMYFUNCTION("IMPORTRANGE(""https://docs.google.com/spreadsheets/d/11923uPwbBZFjjGgGUA6NLw09EwE0CqkOc4q9oUmW1yo/edit?usp=sharing"",""อุตรดิตถ์!J271"")"),0)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IFERROR(__xludf.DUMMYFUNCTION("IMPORTRANGE(""https://docs.google.com/spreadsheets/d/11923uPwbBZFjjGgGUA6NLw09EwE0CqkOc4q9oUmW1yo/edit?usp=sharing"",""อุตรดิตถ์!I272"")"),10)</f>
        <v>10</v>
      </c>
      <c r="J377" s="203">
        <f ca="1">IFERROR(__xludf.DUMMYFUNCTION("IMPORTRANGE(""https://docs.google.com/spreadsheets/d/11923uPwbBZFjjGgGUA6NLw09EwE0CqkOc4q9oUmW1yo/edit?usp=sharing"",""อุตรดิตถ์!J272"")"),0)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IFERROR(__xludf.DUMMYFUNCTION("IMPORTRANGE(""https://docs.google.com/spreadsheets/d/11923uPwbBZFjjGgGUA6NLw09EwE0CqkOc4q9oUmW1yo/edit?usp=sharing"",""อุตรดิตถ์!J273"")"),0)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IFERROR(__xludf.DUMMYFUNCTION("IMPORTRANGE(""https://docs.google.com/spreadsheets/d/11923uPwbBZFjjGgGUA6NLw09EwE0CqkOc4q9oUmW1yo/edit?usp=sharing"",""อุตรดิตถ์!J274"")"),0)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IFERROR(__xludf.DUMMYFUNCTION("IMPORTRANGE(""https://docs.google.com/spreadsheets/d/11923uPwbBZFjjGgGUA6NLw09EwE0CqkOc4q9oUmW1yo/edit?usp=sharing"",""อุตรดิตถ์!I275"")"),1000)</f>
        <v>1000</v>
      </c>
      <c r="J380" s="369">
        <f ca="1">IFERROR(__xludf.DUMMYFUNCTION("IMPORTRANGE(""https://docs.google.com/spreadsheets/d/11923uPwbBZFjjGgGUA6NLw09EwE0CqkOc4q9oUmW1yo/edit?usp=sharing"",""อุตรดิตถ์!J275"")"),0)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IFERROR(__xludf.DUMMYFUNCTION("IMPORTRANGE(""https://docs.google.com/spreadsheets/d/11923uPwbBZFjjGgGUA6NLw09EwE0CqkOc4q9oUmW1yo/edit?usp=sharing"",""อุตรดิตถ์!L275"")"),1028520)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IFERROR(__xludf.DUMMYFUNCTION("IMPORTRANGE(""https://docs.google.com/spreadsheets/d/11923uPwbBZFjjGgGUA6NLw09EwE0CqkOc4q9oUmW1yo/edit?usp=sharing"",""อุตรดิตถ์!M275"")"),76589)</f>
        <v>76589</v>
      </c>
      <c r="O380" s="371">
        <f ca="1">+IF(L380&gt;0,N380*100/L380,0)</f>
        <v>7.4465251040329798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IFERROR(__xludf.DUMMYFUNCTION("IMPORTRANGE(""https://docs.google.com/spreadsheets/d/11923uPwbBZFjjGgGUA6NLw09EwE0CqkOc4q9oUmW1yo/edit?usp=sharing"",""อุตรดิตถ์!I276"")"),100)</f>
        <v>100</v>
      </c>
      <c r="J381" s="369">
        <f ca="1">IFERROR(__xludf.DUMMYFUNCTION("IMPORTRANGE(""https://docs.google.com/spreadsheets/d/11923uPwbBZFjjGgGUA6NLw09EwE0CqkOc4q9oUmW1yo/edit?usp=sharing"",""อุตรดิตถ์!J276"")"),35)</f>
        <v>35</v>
      </c>
      <c r="K381" s="370">
        <f t="shared" ca="1" si="108"/>
        <v>35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IFERROR(__xludf.DUMMYFUNCTION("IMPORTRANGE(""https://docs.google.com/spreadsheets/d/11923uPwbBZFjjGgGUA6NLw09EwE0CqkOc4q9oUmW1yo/edit?usp=sharing"",""อุตรดิตถ์!L277"")"),0)</f>
        <v>0</v>
      </c>
      <c r="M382" s="164"/>
      <c r="N382" s="164">
        <f ca="1">IFERROR(__xludf.DUMMYFUNCTION("IMPORTRANGE(""https://docs.google.com/spreadsheets/d/11923uPwbBZFjjGgGUA6NLw09EwE0CqkOc4q9oUmW1yo/edit?usp=sharing"",""อุตรดิตถ์!M277"")"),0)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IFERROR(__xludf.DUMMYFUNCTION("IMPORTRANGE(""https://docs.google.com/spreadsheets/d/11923uPwbBZFjjGgGUA6NLw09EwE0CqkOc4q9oUmW1yo/edit?usp=sharing"",""อุตรดิตถ์!L278"")"),1028520)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IFERROR(__xludf.DUMMYFUNCTION("IMPORTRANGE(""https://docs.google.com/spreadsheets/d/11923uPwbBZFjjGgGUA6NLw09EwE0CqkOc4q9oUmW1yo/edit?usp=sharing"",""อุตรดิตถ์!M278"")"),76589)</f>
        <v>76589</v>
      </c>
      <c r="O383" s="165">
        <f t="shared" ca="1" si="109"/>
        <v>7.4465251040329798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IFERROR(__xludf.DUMMYFUNCTION("IMPORTRANGE(""https://docs.google.com/spreadsheets/d/11923uPwbBZFjjGgGUA6NLw09EwE0CqkOc4q9oUmW1yo/edit?usp=sharing"",""อุตรดิตถ์!L279"")"),0)</f>
        <v>0</v>
      </c>
      <c r="M384" s="168"/>
      <c r="N384" s="168">
        <f ca="1">IFERROR(__xludf.DUMMYFUNCTION("IMPORTRANGE(""https://docs.google.com/spreadsheets/d/11923uPwbBZFjjGgGUA6NLw09EwE0CqkOc4q9oUmW1yo/edit?usp=sharing"",""อุตรดิตถ์!M279"")"),0)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IFERROR(__xludf.DUMMYFUNCTION("IMPORTRANGE(""https://docs.google.com/spreadsheets/d/11923uPwbBZFjjGgGUA6NLw09EwE0CqkOc4q9oUmW1yo/edit?usp=sharing"",""อุตรดิตถ์!L280"")"),1028520)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IFERROR(__xludf.DUMMYFUNCTION("IMPORTRANGE(""https://docs.google.com/spreadsheets/d/11923uPwbBZFjjGgGUA6NLw09EwE0CqkOc4q9oUmW1yo/edit?usp=sharing"",""อุตรดิตถ์!M280"")"),76589)</f>
        <v>76589</v>
      </c>
      <c r="O385" s="168">
        <f t="shared" ca="1" si="109"/>
        <v>7.4465251040329798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IFERROR(__xludf.DUMMYFUNCTION("IMPORTRANGE(""https://docs.google.com/spreadsheets/d/11923uPwbBZFjjGgGUA6NLw09EwE0CqkOc4q9oUmW1yo/edit?usp=sharing"",""อุตรดิตถ์!M281"")"),11845)</f>
        <v>11845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IFERROR(__xludf.DUMMYFUNCTION("IMPORTRANGE(""https://docs.google.com/spreadsheets/d/11923uPwbBZFjjGgGUA6NLw09EwE0CqkOc4q9oUmW1yo/edit?usp=sharing"",""อุตรดิตถ์!M282"")"),0)</f>
        <v>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IFERROR(__xludf.DUMMYFUNCTION("IMPORTRANGE(""https://docs.google.com/spreadsheets/d/11923uPwbBZFjjGgGUA6NLw09EwE0CqkOc4q9oUmW1yo/edit?usp=sharing"",""อุตรดิตถ์!M283"")"),52500)</f>
        <v>52500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IFERROR(__xludf.DUMMYFUNCTION("IMPORTRANGE(""https://docs.google.com/spreadsheets/d/11923uPwbBZFjjGgGUA6NLw09EwE0CqkOc4q9oUmW1yo/edit?usp=sharing"",""อุตรดิตถ์!M284"")"),12244)</f>
        <v>12244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IFERROR(__xludf.DUMMYFUNCTION("IMPORTRANGE(""https://docs.google.com/spreadsheets/d/11923uPwbBZFjjGgGUA6NLw09EwE0CqkOc4q9oUmW1yo/edit?usp=sharing"",""อุตรดิตถ์!J286"")"),0)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IFERROR(__xludf.DUMMYFUNCTION("IMPORTRANGE(""https://docs.google.com/spreadsheets/d/11923uPwbBZFjjGgGUA6NLw09EwE0CqkOc4q9oUmW1yo/edit?usp=sharing"",""อุตรดิตถ์!J287"")"),1)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IFERROR(__xludf.DUMMYFUNCTION("IMPORTRANGE(""https://docs.google.com/spreadsheets/d/11923uPwbBZFjjGgGUA6NLw09EwE0CqkOc4q9oUmW1yo/edit?usp=sharing"",""อุตรดิตถ์!J288"")"),1)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IFERROR(__xludf.DUMMYFUNCTION("IMPORTRANGE(""https://docs.google.com/spreadsheets/d/11923uPwbBZFjjGgGUA6NLw09EwE0CqkOc4q9oUmW1yo/edit?usp=sharing"",""อุตรดิตถ์!J289"")"),1)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IFERROR(__xludf.DUMMYFUNCTION("IMPORTRANGE(""https://docs.google.com/spreadsheets/d/11923uPwbBZFjjGgGUA6NLw09EwE0CqkOc4q9oUmW1yo/edit?usp=sharing"",""อุตรดิตถ์!I291"")"),100)</f>
        <v>100</v>
      </c>
      <c r="J396" s="197">
        <f ca="1">IFERROR(__xludf.DUMMYFUNCTION("IMPORTRANGE(""https://docs.google.com/spreadsheets/d/11923uPwbBZFjjGgGUA6NLw09EwE0CqkOc4q9oUmW1yo/edit?usp=sharing"",""อุตรดิตถ์!J291"")"),35)</f>
        <v>35</v>
      </c>
      <c r="K396" s="163">
        <f t="shared" ref="K396:K398" ca="1" si="110">IF(I396&gt;0,J396*100/I396,0)</f>
        <v>35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IFERROR(__xludf.DUMMYFUNCTION("IMPORTRANGE(""https://docs.google.com/spreadsheets/d/11923uPwbBZFjjGgGUA6NLw09EwE0CqkOc4q9oUmW1yo/edit?usp=sharing"",""อุตรดิตถ์!I292"")"),1000)</f>
        <v>1000</v>
      </c>
      <c r="J397" s="197">
        <f ca="1">IFERROR(__xludf.DUMMYFUNCTION("IMPORTRANGE(""https://docs.google.com/spreadsheets/d/11923uPwbBZFjjGgGUA6NLw09EwE0CqkOc4q9oUmW1yo/edit?usp=sharing"",""อุตรดิตถ์!J292"")"),0)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IFERROR(__xludf.DUMMYFUNCTION("IMPORTRANGE(""https://docs.google.com/spreadsheets/d/11923uPwbBZFjjGgGUA6NLw09EwE0CqkOc4q9oUmW1yo/edit?usp=sharing"",""อุตรดิตถ์!I293"")"),100)</f>
        <v>100</v>
      </c>
      <c r="J398" s="197">
        <f ca="1">IFERROR(__xludf.DUMMYFUNCTION("IMPORTRANGE(""https://docs.google.com/spreadsheets/d/11923uPwbBZFjjGgGUA6NLw09EwE0CqkOc4q9oUmW1yo/edit?usp=sharing"",""อุตรดิตถ์!J293"")"),0)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IFERROR(__xludf.DUMMYFUNCTION("IMPORTRANGE(""https://docs.google.com/spreadsheets/d/11923uPwbBZFjjGgGUA6NLw09EwE0CqkOc4q9oUmW1yo/edit?usp=sharing"",""อุตรดิตถ์!J294"")"),0)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IFERROR(__xludf.DUMMYFUNCTION("IMPORTRANGE(""https://docs.google.com/spreadsheets/d/11923uPwbBZFjjGgGUA6NLw09EwE0CqkOc4q9oUmW1yo/edit?usp=sharing"",""อุตรดิตถ์!J295"")"),0)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IFERROR(__xludf.DUMMYFUNCTION("IMPORTRANGE(""https://docs.google.com/spreadsheets/d/11923uPwbBZFjjGgGUA6NLw09EwE0CqkOc4q9oUmW1yo/edit?usp=sharing"",""อุตรดิตถ์!I296"")"),135)</f>
        <v>135</v>
      </c>
      <c r="J401" s="369">
        <f ca="1">IFERROR(__xludf.DUMMYFUNCTION("IMPORTRANGE(""https://docs.google.com/spreadsheets/d/11923uPwbBZFjjGgGUA6NLw09EwE0CqkOc4q9oUmW1yo/edit?usp=sharing"",""อุตรดิตถ์!J296"")"),105)</f>
        <v>105</v>
      </c>
      <c r="K401" s="370">
        <f t="shared" ref="K401:K402" ca="1" si="111">IF(I401&gt;0,J401*100/I401,0)</f>
        <v>77.777777777777771</v>
      </c>
      <c r="L401" s="371">
        <f ca="1">IFERROR(__xludf.DUMMYFUNCTION("IMPORTRANGE(""https://docs.google.com/spreadsheets/d/11923uPwbBZFjjGgGUA6NLw09EwE0CqkOc4q9oUmW1yo/edit?usp=sharing"",""อุตรดิตถ์!L296"")"),159950)</f>
        <v>159950</v>
      </c>
      <c r="M401" s="371"/>
      <c r="N401" s="371">
        <f ca="1">IFERROR(__xludf.DUMMYFUNCTION("IMPORTRANGE(""https://docs.google.com/spreadsheets/d/11923uPwbBZFjjGgGUA6NLw09EwE0CqkOc4q9oUmW1yo/edit?usp=sharing"",""อุตรดิตถ์!M296"")"),35881)</f>
        <v>35881</v>
      </c>
      <c r="O401" s="371">
        <f ca="1">+IF(L401&gt;0,N401*100/L401,0)</f>
        <v>22.432635198499533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IFERROR(__xludf.DUMMYFUNCTION("IMPORTRANGE(""https://docs.google.com/spreadsheets/d/11923uPwbBZFjjGgGUA6NLw09EwE0CqkOc4q9oUmW1yo/edit?usp=sharing"",""อุตรดิตถ์!I297"")"),45)</f>
        <v>45</v>
      </c>
      <c r="J402" s="369">
        <f ca="1">IFERROR(__xludf.DUMMYFUNCTION("IMPORTRANGE(""https://docs.google.com/spreadsheets/d/11923uPwbBZFjjGgGUA6NLw09EwE0CqkOc4q9oUmW1yo/edit?usp=sharing"",""อุตรดิตถ์!J297"")"),35)</f>
        <v>35</v>
      </c>
      <c r="K402" s="370">
        <f t="shared" ca="1" si="111"/>
        <v>77.777777777777771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IFERROR(__xludf.DUMMYFUNCTION("IMPORTRANGE(""https://docs.google.com/spreadsheets/d/11923uPwbBZFjjGgGUA6NLw09EwE0CqkOc4q9oUmW1yo/edit?usp=sharing"",""อุตรดิตถ์!L298"")"),0)</f>
        <v>0</v>
      </c>
      <c r="M403" s="164"/>
      <c r="N403" s="168">
        <f ca="1">IFERROR(__xludf.DUMMYFUNCTION("IMPORTRANGE(""https://docs.google.com/spreadsheets/d/11923uPwbBZFjjGgGUA6NLw09EwE0CqkOc4q9oUmW1yo/edit?usp=sharing"",""อุตรดิตถ์!M298"")"),0)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IFERROR(__xludf.DUMMYFUNCTION("IMPORTRANGE(""https://docs.google.com/spreadsheets/d/11923uPwbBZFjjGgGUA6NLw09EwE0CqkOc4q9oUmW1yo/edit?usp=sharing"",""อุตรดิตถ์!L299"")"),159950)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IFERROR(__xludf.DUMMYFUNCTION("IMPORTRANGE(""https://docs.google.com/spreadsheets/d/11923uPwbBZFjjGgGUA6NLw09EwE0CqkOc4q9oUmW1yo/edit?usp=sharing"",""อุตรดิตถ์!M299"")"),35881)</f>
        <v>35881</v>
      </c>
      <c r="O404" s="168">
        <f t="shared" ca="1" si="112"/>
        <v>22.432635198499533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IFERROR(__xludf.DUMMYFUNCTION("IMPORTRANGE(""https://docs.google.com/spreadsheets/d/11923uPwbBZFjjGgGUA6NLw09EwE0CqkOc4q9oUmW1yo/edit?usp=sharing"",""อุตรดิตถ์!L300"")"),0)</f>
        <v>0</v>
      </c>
      <c r="M405" s="168"/>
      <c r="N405" s="168">
        <f ca="1">IFERROR(__xludf.DUMMYFUNCTION("IMPORTRANGE(""https://docs.google.com/spreadsheets/d/11923uPwbBZFjjGgGUA6NLw09EwE0CqkOc4q9oUmW1yo/edit?usp=sharing"",""อุตรดิตถ์!M300"")"),0)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IFERROR(__xludf.DUMMYFUNCTION("IMPORTRANGE(""https://docs.google.com/spreadsheets/d/11923uPwbBZFjjGgGUA6NLw09EwE0CqkOc4q9oUmW1yo/edit?usp=sharing"",""อุตรดิตถ์!L301"")"),159950)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IFERROR(__xludf.DUMMYFUNCTION("IMPORTRANGE(""https://docs.google.com/spreadsheets/d/11923uPwbBZFjjGgGUA6NLw09EwE0CqkOc4q9oUmW1yo/edit?usp=sharing"",""อุตรดิตถ์!M301"")"),35881)</f>
        <v>35881</v>
      </c>
      <c r="O406" s="168">
        <f t="shared" ca="1" si="112"/>
        <v>22.432635198499533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IFERROR(__xludf.DUMMYFUNCTION("IMPORTRANGE(""https://docs.google.com/spreadsheets/d/11923uPwbBZFjjGgGUA6NLw09EwE0CqkOc4q9oUmW1yo/edit?usp=sharing"",""อุตรดิตถ์!M302"")"),26406)</f>
        <v>26406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IFERROR(__xludf.DUMMYFUNCTION("IMPORTRANGE(""https://docs.google.com/spreadsheets/d/11923uPwbBZFjjGgGUA6NLw09EwE0CqkOc4q9oUmW1yo/edit?usp=sharing"",""อุตรดิตถ์!M303"")"),9475)</f>
        <v>9475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IFERROR(__xludf.DUMMYFUNCTION("IMPORTRANGE(""https://docs.google.com/spreadsheets/d/11923uPwbBZFjjGgGUA6NLw09EwE0CqkOc4q9oUmW1yo/edit?usp=sharing"",""อุตรดิตถ์!M304"")"),0)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IFERROR(__xludf.DUMMYFUNCTION("IMPORTRANGE(""https://docs.google.com/spreadsheets/d/11923uPwbBZFjjGgGUA6NLw09EwE0CqkOc4q9oUmW1yo/edit?usp=sharing"",""อุตรดิตถ์!M305"")"),0)</f>
        <v>0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IFERROR(__xludf.DUMMYFUNCTION("IMPORTRANGE(""https://docs.google.com/spreadsheets/d/11923uPwbBZFjjGgGUA6NLw09EwE0CqkOc4q9oUmW1yo/edit?usp=sharing"",""อุตรดิตถ์!J307"")"),0)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IFERROR(__xludf.DUMMYFUNCTION("IMPORTRANGE(""https://docs.google.com/spreadsheets/d/11923uPwbBZFjjGgGUA6NLw09EwE0CqkOc4q9oUmW1yo/edit?usp=sharing"",""อุตรดิตถ์!J308"")"),1)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IFERROR(__xludf.DUMMYFUNCTION("IMPORTRANGE(""https://docs.google.com/spreadsheets/d/11923uPwbBZFjjGgGUA6NLw09EwE0CqkOc4q9oUmW1yo/edit?usp=sharing"",""อุตรดิตถ์!J309"")"),1)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IFERROR(__xludf.DUMMYFUNCTION("IMPORTRANGE(""https://docs.google.com/spreadsheets/d/11923uPwbBZFjjGgGUA6NLw09EwE0CqkOc4q9oUmW1yo/edit?usp=sharing"",""อุตรดิตถ์!J310"")"),1)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IFERROR(__xludf.DUMMYFUNCTION("IMPORTRANGE(""https://docs.google.com/spreadsheets/d/11923uPwbBZFjjGgGUA6NLw09EwE0CqkOc4q9oUmW1yo/edit?usp=sharing"",""อุตรดิตถ์!I311"")"),45)</f>
        <v>45</v>
      </c>
      <c r="J416" s="200">
        <f ca="1">IFERROR(__xludf.DUMMYFUNCTION("IMPORTRANGE(""https://docs.google.com/spreadsheets/d/11923uPwbBZFjjGgGUA6NLw09EwE0CqkOc4q9oUmW1yo/edit?usp=sharing"",""อุตรดิตถ์!J311"")"),35)</f>
        <v>35</v>
      </c>
      <c r="K416" s="201">
        <f t="shared" ref="K416:K432" ca="1" si="113">IF(I416&gt;0,J416*100/I416,0)</f>
        <v>77.777777777777771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IFERROR(__xludf.DUMMYFUNCTION("IMPORTRANGE(""https://docs.google.com/spreadsheets/d/11923uPwbBZFjjGgGUA6NLw09EwE0CqkOc4q9oUmW1yo/edit?usp=sharing"",""อุตรดิตถ์!I312"")"),10)</f>
        <v>10</v>
      </c>
      <c r="J417" s="390">
        <f ca="1">IFERROR(__xludf.DUMMYFUNCTION("IMPORTRANGE(""https://docs.google.com/spreadsheets/d/11923uPwbBZFjjGgGUA6NLw09EwE0CqkOc4q9oUmW1yo/edit?usp=sharing"",""อุตรดิตถ์!J312"")"),10)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IFERROR(__xludf.DUMMYFUNCTION("IMPORTRANGE(""https://docs.google.com/spreadsheets/d/11923uPwbBZFjjGgGUA6NLw09EwE0CqkOc4q9oUmW1yo/edit?usp=sharing"",""อุตรดิตถ์!I313"")"),30)</f>
        <v>30</v>
      </c>
      <c r="J418" s="391">
        <f ca="1">IFERROR(__xludf.DUMMYFUNCTION("IMPORTRANGE(""https://docs.google.com/spreadsheets/d/11923uPwbBZFjjGgGUA6NLw09EwE0CqkOc4q9oUmW1yo/edit?usp=sharing"",""อุตรดิตถ์!J313"")"),30)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IFERROR(__xludf.DUMMYFUNCTION("IMPORTRANGE(""https://docs.google.com/spreadsheets/d/11923uPwbBZFjjGgGUA6NLw09EwE0CqkOc4q9oUmW1yo/edit?usp=sharing"",""อุตรดิตถ์!I314"")"),10)</f>
        <v>10</v>
      </c>
      <c r="J419" s="392">
        <f ca="1">IFERROR(__xludf.DUMMYFUNCTION("IMPORTRANGE(""https://docs.google.com/spreadsheets/d/11923uPwbBZFjjGgGUA6NLw09EwE0CqkOc4q9oUmW1yo/edit?usp=sharing"",""อุตรดิตถ์!J314"")"),10)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IFERROR(__xludf.DUMMYFUNCTION("IMPORTRANGE(""https://docs.google.com/spreadsheets/d/11923uPwbBZFjjGgGUA6NLw09EwE0CqkOc4q9oUmW1yo/edit?usp=sharing"",""อุตรดิตถ์!I315"")"),10)</f>
        <v>10</v>
      </c>
      <c r="J420" s="392">
        <f ca="1">IFERROR(__xludf.DUMMYFUNCTION("IMPORTRANGE(""https://docs.google.com/spreadsheets/d/11923uPwbBZFjjGgGUA6NLw09EwE0CqkOc4q9oUmW1yo/edit?usp=sharing"",""อุตรดิตถ์!J315"")"),10)</f>
        <v>10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IFERROR(__xludf.DUMMYFUNCTION("IMPORTRANGE(""https://docs.google.com/spreadsheets/d/11923uPwbBZFjjGgGUA6NLw09EwE0CqkOc4q9oUmW1yo/edit?usp=sharing"",""อุตรดิตถ์!I316"")"),25)</f>
        <v>25</v>
      </c>
      <c r="J421" s="390">
        <f ca="1">IFERROR(__xludf.DUMMYFUNCTION("IMPORTRANGE(""https://docs.google.com/spreadsheets/d/11923uPwbBZFjjGgGUA6NLw09EwE0CqkOc4q9oUmW1yo/edit?usp=sharing"",""อุตรดิตถ์!J316"")"),25)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IFERROR(__xludf.DUMMYFUNCTION("IMPORTRANGE(""https://docs.google.com/spreadsheets/d/11923uPwbBZFjjGgGUA6NLw09EwE0CqkOc4q9oUmW1yo/edit?usp=sharing"",""อุตรดิตถ์!I317"")"),75)</f>
        <v>75</v>
      </c>
      <c r="J422" s="391">
        <f ca="1">IFERROR(__xludf.DUMMYFUNCTION("IMPORTRANGE(""https://docs.google.com/spreadsheets/d/11923uPwbBZFjjGgGUA6NLw09EwE0CqkOc4q9oUmW1yo/edit?usp=sharing"",""อุตรดิตถ์!J317"")"),75)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IFERROR(__xludf.DUMMYFUNCTION("IMPORTRANGE(""https://docs.google.com/spreadsheets/d/11923uPwbBZFjjGgGUA6NLw09EwE0CqkOc4q9oUmW1yo/edit?usp=sharing"",""อุตรดิตถ์!I318"")"),25)</f>
        <v>25</v>
      </c>
      <c r="J423" s="392">
        <f ca="1">IFERROR(__xludf.DUMMYFUNCTION("IMPORTRANGE(""https://docs.google.com/spreadsheets/d/11923uPwbBZFjjGgGUA6NLw09EwE0CqkOc4q9oUmW1yo/edit?usp=sharing"",""อุตรดิตถ์!J318"")"),25)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IFERROR(__xludf.DUMMYFUNCTION("IMPORTRANGE(""https://docs.google.com/spreadsheets/d/11923uPwbBZFjjGgGUA6NLw09EwE0CqkOc4q9oUmW1yo/edit?usp=sharing"",""อุตรดิตถ์!I319"")"),25)</f>
        <v>25</v>
      </c>
      <c r="J424" s="392">
        <f ca="1">IFERROR(__xludf.DUMMYFUNCTION("IMPORTRANGE(""https://docs.google.com/spreadsheets/d/11923uPwbBZFjjGgGUA6NLw09EwE0CqkOc4q9oUmW1yo/edit?usp=sharing"",""อุตรดิตถ์!J319"")"),25)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IFERROR(__xludf.DUMMYFUNCTION("IMPORTRANGE(""https://docs.google.com/spreadsheets/d/11923uPwbBZFjjGgGUA6NLw09EwE0CqkOc4q9oUmW1yo/edit?usp=sharing"",""อุตรดิตถ์!I320"")"),25)</f>
        <v>25</v>
      </c>
      <c r="J425" s="392">
        <f ca="1">IFERROR(__xludf.DUMMYFUNCTION("IMPORTRANGE(""https://docs.google.com/spreadsheets/d/11923uPwbBZFjjGgGUA6NLw09EwE0CqkOc4q9oUmW1yo/edit?usp=sharing"",""อุตรดิตถ์!J320"")"),25)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IFERROR(__xludf.DUMMYFUNCTION("IMPORTRANGE(""https://docs.google.com/spreadsheets/d/11923uPwbBZFjjGgGUA6NLw09EwE0CqkOc4q9oUmW1yo/edit?usp=sharing"",""อุตรดิตถ์!I321"")"),10)</f>
        <v>10</v>
      </c>
      <c r="J426" s="390">
        <f ca="1">IFERROR(__xludf.DUMMYFUNCTION("IMPORTRANGE(""https://docs.google.com/spreadsheets/d/11923uPwbBZFjjGgGUA6NLw09EwE0CqkOc4q9oUmW1yo/edit?usp=sharing"",""อุตรดิตถ์!J321"")"),0)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IFERROR(__xludf.DUMMYFUNCTION("IMPORTRANGE(""https://docs.google.com/spreadsheets/d/11923uPwbBZFjjGgGUA6NLw09EwE0CqkOc4q9oUmW1yo/edit?usp=sharing"",""อุตรดิตถ์!I322"")"),30)</f>
        <v>30</v>
      </c>
      <c r="J427" s="391">
        <f ca="1">IFERROR(__xludf.DUMMYFUNCTION("IMPORTRANGE(""https://docs.google.com/spreadsheets/d/11923uPwbBZFjjGgGUA6NLw09EwE0CqkOc4q9oUmW1yo/edit?usp=sharing"",""อุตรดิตถ์!J322"")"),0)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IFERROR(__xludf.DUMMYFUNCTION("IMPORTRANGE(""https://docs.google.com/spreadsheets/d/11923uPwbBZFjjGgGUA6NLw09EwE0CqkOc4q9oUmW1yo/edit?usp=sharing"",""อุตรดิตถ์!I323"")"),10)</f>
        <v>10</v>
      </c>
      <c r="J428" s="392">
        <f ca="1">IFERROR(__xludf.DUMMYFUNCTION("IMPORTRANGE(""https://docs.google.com/spreadsheets/d/11923uPwbBZFjjGgGUA6NLw09EwE0CqkOc4q9oUmW1yo/edit?usp=sharing"",""อุตรดิตถ์!J323"")"),0)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IFERROR(__xludf.DUMMYFUNCTION("IMPORTRANGE(""https://docs.google.com/spreadsheets/d/11923uPwbBZFjjGgGUA6NLw09EwE0CqkOc4q9oUmW1yo/edit?usp=sharing"",""อุตรดิตถ์!I324"")"),10)</f>
        <v>10</v>
      </c>
      <c r="J429" s="392">
        <f ca="1">IFERROR(__xludf.DUMMYFUNCTION("IMPORTRANGE(""https://docs.google.com/spreadsheets/d/11923uPwbBZFjjGgGUA6NLw09EwE0CqkOc4q9oUmW1yo/edit?usp=sharing"",""อุตรดิตถ์!J324"")"),0)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IFERROR(__xludf.DUMMYFUNCTION("IMPORTRANGE(""https://docs.google.com/spreadsheets/d/11923uPwbBZFjjGgGUA6NLw09EwE0CqkOc4q9oUmW1yo/edit?usp=sharing"",""อุตรดิตถ์!I325"")"),35)</f>
        <v>35</v>
      </c>
      <c r="J430" s="390">
        <f ca="1">IFERROR(__xludf.DUMMYFUNCTION("IMPORTRANGE(""https://docs.google.com/spreadsheets/d/11923uPwbBZFjjGgGUA6NLw09EwE0CqkOc4q9oUmW1yo/edit?usp=sharing"",""อุตรดิตถ์!J325"")"),0)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IFERROR(__xludf.DUMMYFUNCTION("IMPORTRANGE(""https://docs.google.com/spreadsheets/d/11923uPwbBZFjjGgGUA6NLw09EwE0CqkOc4q9oUmW1yo/edit?usp=sharing"",""อุตรดิตถ์!I326"")"),10)</f>
        <v>10</v>
      </c>
      <c r="J431" s="392">
        <f ca="1">IFERROR(__xludf.DUMMYFUNCTION("IMPORTRANGE(""https://docs.google.com/spreadsheets/d/11923uPwbBZFjjGgGUA6NLw09EwE0CqkOc4q9oUmW1yo/edit?usp=sharing"",""อุตรดิตถ์!J326"")"),0)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IFERROR(__xludf.DUMMYFUNCTION("IMPORTRANGE(""https://docs.google.com/spreadsheets/d/11923uPwbBZFjjGgGUA6NLw09EwE0CqkOc4q9oUmW1yo/edit?usp=sharing"",""อุตรดิตถ์!I327"")"),25)</f>
        <v>25</v>
      </c>
      <c r="J432" s="392">
        <f ca="1">IFERROR(__xludf.DUMMYFUNCTION("IMPORTRANGE(""https://docs.google.com/spreadsheets/d/11923uPwbBZFjjGgGUA6NLw09EwE0CqkOc4q9oUmW1yo/edit?usp=sharing"",""อุตรดิตถ์!J327"")"),0)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IFERROR(__xludf.DUMMYFUNCTION("IMPORTRANGE(""https://docs.google.com/spreadsheets/d/11923uPwbBZFjjGgGUA6NLw09EwE0CqkOc4q9oUmW1yo/edit?usp=sharing"",""อุตรดิตถ์!J328"")"),0)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IFERROR(__xludf.DUMMYFUNCTION("IMPORTRANGE(""https://docs.google.com/spreadsheets/d/11923uPwbBZFjjGgGUA6NLw09EwE0CqkOc4q9oUmW1yo/edit?usp=sharing"",""อุตรดิตถ์!J329"")"),0)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IFERROR(__xludf.DUMMYFUNCTION("IMPORTRANGE(""https://docs.google.com/spreadsheets/d/11923uPwbBZFjjGgGUA6NLw09EwE0CqkOc4q9oUmW1yo/edit?usp=sharing"",""อุตรดิตถ์!I330"")"),20)</f>
        <v>20</v>
      </c>
      <c r="J435" s="408">
        <f ca="1">IFERROR(__xludf.DUMMYFUNCTION("IMPORTRANGE(""https://docs.google.com/spreadsheets/d/11923uPwbBZFjjGgGUA6NLw09EwE0CqkOc4q9oUmW1yo/edit?usp=sharing"",""อุตรดิตถ์!J330"")"),10)</f>
        <v>10</v>
      </c>
      <c r="K435" s="409">
        <f ca="1">IF(I435&gt;0,J435*100/I435,0)</f>
        <v>50</v>
      </c>
      <c r="L435" s="410">
        <f ca="1">IFERROR(__xludf.DUMMYFUNCTION("IMPORTRANGE(""https://docs.google.com/spreadsheets/d/11923uPwbBZFjjGgGUA6NLw09EwE0CqkOc4q9oUmW1yo/edit?usp=sharing"",""อุตรดิตถ์!L330"")"),100000)</f>
        <v>100000</v>
      </c>
      <c r="M435" s="410"/>
      <c r="N435" s="410">
        <f ca="1">IFERROR(__xludf.DUMMYFUNCTION("IMPORTRANGE(""https://docs.google.com/spreadsheets/d/11923uPwbBZFjjGgGUA6NLw09EwE0CqkOc4q9oUmW1yo/edit?usp=sharing"",""อุตรดิตถ์!M330"")"),20054.4)</f>
        <v>20054.400000000001</v>
      </c>
      <c r="O435" s="410">
        <f t="shared" ref="O435:O439" ca="1" si="114">+IF(L435&gt;0,N435*100/L435,0)</f>
        <v>20.054400000000001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IFERROR(__xludf.DUMMYFUNCTION("IMPORTRANGE(""https://docs.google.com/spreadsheets/d/11923uPwbBZFjjGgGUA6NLw09EwE0CqkOc4q9oUmW1yo/edit?usp=sharing"",""อุตรดิตถ์!L331"")"),0)</f>
        <v>0</v>
      </c>
      <c r="M436" s="164"/>
      <c r="N436" s="168">
        <f ca="1">IFERROR(__xludf.DUMMYFUNCTION("IMPORTRANGE(""https://docs.google.com/spreadsheets/d/11923uPwbBZFjjGgGUA6NLw09EwE0CqkOc4q9oUmW1yo/edit?usp=sharing"",""อุตรดิตถ์!M331"")"),0)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IFERROR(__xludf.DUMMYFUNCTION("IMPORTRANGE(""https://docs.google.com/spreadsheets/d/11923uPwbBZFjjGgGUA6NLw09EwE0CqkOc4q9oUmW1yo/edit?usp=sharing"",""อุตรดิตถ์!L332"")"),100000)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IFERROR(__xludf.DUMMYFUNCTION("IMPORTRANGE(""https://docs.google.com/spreadsheets/d/11923uPwbBZFjjGgGUA6NLw09EwE0CqkOc4q9oUmW1yo/edit?usp=sharing"",""อุตรดิตถ์!M332"")"),20054.4)</f>
        <v>20054.400000000001</v>
      </c>
      <c r="O437" s="168">
        <f t="shared" ca="1" si="114"/>
        <v>20.054400000000001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IFERROR(__xludf.DUMMYFUNCTION("IMPORTRANGE(""https://docs.google.com/spreadsheets/d/11923uPwbBZFjjGgGUA6NLw09EwE0CqkOc4q9oUmW1yo/edit?usp=sharing"",""อุตรดิตถ์!L333"")"),0)</f>
        <v>0</v>
      </c>
      <c r="M438" s="168"/>
      <c r="N438" s="168">
        <f ca="1">IFERROR(__xludf.DUMMYFUNCTION("IMPORTRANGE(""https://docs.google.com/spreadsheets/d/11923uPwbBZFjjGgGUA6NLw09EwE0CqkOc4q9oUmW1yo/edit?usp=sharing"",""อุตรดิตถ์!M333"")"),0)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IFERROR(__xludf.DUMMYFUNCTION("IMPORTRANGE(""https://docs.google.com/spreadsheets/d/11923uPwbBZFjjGgGUA6NLw09EwE0CqkOc4q9oUmW1yo/edit?usp=sharing"",""อุตรดิตถ์!L334"")"),100000)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IFERROR(__xludf.DUMMYFUNCTION("IMPORTRANGE(""https://docs.google.com/spreadsheets/d/11923uPwbBZFjjGgGUA6NLw09EwE0CqkOc4q9oUmW1yo/edit?usp=sharing"",""อุตรดิตถ์!M334"")"),20054.4)</f>
        <v>20054.400000000001</v>
      </c>
      <c r="O439" s="168">
        <f t="shared" ca="1" si="114"/>
        <v>20.054400000000001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IFERROR(__xludf.DUMMYFUNCTION("IMPORTRANGE(""https://docs.google.com/spreadsheets/d/11923uPwbBZFjjGgGUA6NLw09EwE0CqkOc4q9oUmW1yo/edit?usp=sharing"",""อุตรดิตถ์!M335"")"),14176)</f>
        <v>14176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IFERROR(__xludf.DUMMYFUNCTION("IMPORTRANGE(""https://docs.google.com/spreadsheets/d/11923uPwbBZFjjGgGUA6NLw09EwE0CqkOc4q9oUmW1yo/edit?usp=sharing"",""อุตรดิตถ์!M336"")"),0)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IFERROR(__xludf.DUMMYFUNCTION("IMPORTRANGE(""https://docs.google.com/spreadsheets/d/11923uPwbBZFjjGgGUA6NLw09EwE0CqkOc4q9oUmW1yo/edit?usp=sharing"",""อุตรดิตถ์!M337"")"),0)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IFERROR(__xludf.DUMMYFUNCTION("IMPORTRANGE(""https://docs.google.com/spreadsheets/d/11923uPwbBZFjjGgGUA6NLw09EwE0CqkOc4q9oUmW1yo/edit?usp=sharing"",""อุตรดิตถ์!M338"")"),5878.4)</f>
        <v>5878.4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IFERROR(__xludf.DUMMYFUNCTION("IMPORTRANGE(""https://docs.google.com/spreadsheets/d/11923uPwbBZFjjGgGUA6NLw09EwE0CqkOc4q9oUmW1yo/edit?usp=sharing"",""อุตรดิตถ์!J340"")"),0)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IFERROR(__xludf.DUMMYFUNCTION("IMPORTRANGE(""https://docs.google.com/spreadsheets/d/11923uPwbBZFjjGgGUA6NLw09EwE0CqkOc4q9oUmW1yo/edit?usp=sharing"",""อุตรดิตถ์!J341"")"),1)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IFERROR(__xludf.DUMMYFUNCTION("IMPORTRANGE(""https://docs.google.com/spreadsheets/d/11923uPwbBZFjjGgGUA6NLw09EwE0CqkOc4q9oUmW1yo/edit?usp=sharing"",""อุตรดิตถ์!J342"")"),1)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IFERROR(__xludf.DUMMYFUNCTION("IMPORTRANGE(""https://docs.google.com/spreadsheets/d/11923uPwbBZFjjGgGUA6NLw09EwE0CqkOc4q9oUmW1yo/edit?usp=sharing"",""อุตรดิตถ์!J343"")"),1)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IFERROR(__xludf.DUMMYFUNCTION("IMPORTRANGE(""https://docs.google.com/spreadsheets/d/11923uPwbBZFjjGgGUA6NLw09EwE0CqkOc4q9oUmW1yo/edit?usp=sharing"",""อุตรดิตถ์!I344"")"),20)</f>
        <v>20</v>
      </c>
      <c r="J449" s="200">
        <f ca="1">IFERROR(__xludf.DUMMYFUNCTION("IMPORTRANGE(""https://docs.google.com/spreadsheets/d/11923uPwbBZFjjGgGUA6NLw09EwE0CqkOc4q9oUmW1yo/edit?usp=sharing"",""อุตรดิตถ์!J344"")"),10)</f>
        <v>10</v>
      </c>
      <c r="K449" s="163">
        <f t="shared" ref="K449:K452" ca="1" si="115">IF(I449&gt;0,J449*100/I449,0)</f>
        <v>50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IFERROR(__xludf.DUMMYFUNCTION("IMPORTRANGE(""https://docs.google.com/spreadsheets/d/11923uPwbBZFjjGgGUA6NLw09EwE0CqkOc4q9oUmW1yo/edit?usp=sharing"",""อุตรดิตถ์!I345"")"),20)</f>
        <v>20</v>
      </c>
      <c r="J450" s="188">
        <f ca="1">IFERROR(__xludf.DUMMYFUNCTION("IMPORTRANGE(""https://docs.google.com/spreadsheets/d/11923uPwbBZFjjGgGUA6NLw09EwE0CqkOc4q9oUmW1yo/edit?usp=sharing"",""อุตรดิตถ์!J345"")"),10)</f>
        <v>10</v>
      </c>
      <c r="K450" s="163">
        <f t="shared" ca="1" si="115"/>
        <v>50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IFERROR(__xludf.DUMMYFUNCTION("IMPORTRANGE(""https://docs.google.com/spreadsheets/d/11923uPwbBZFjjGgGUA6NLw09EwE0CqkOc4q9oUmW1yo/edit?usp=sharing"",""อุตรดิตถ์!I346"")"),0)</f>
        <v>0</v>
      </c>
      <c r="J451" s="187">
        <f ca="1">IFERROR(__xludf.DUMMYFUNCTION("IMPORTRANGE(""https://docs.google.com/spreadsheets/d/11923uPwbBZFjjGgGUA6NLw09EwE0CqkOc4q9oUmW1yo/edit?usp=sharing"",""อุตรดิตถ์!J346"")"),0)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IFERROR(__xludf.DUMMYFUNCTION("IMPORTRANGE(""https://docs.google.com/spreadsheets/d/11923uPwbBZFjjGgGUA6NLw09EwE0CqkOc4q9oUmW1yo/edit?usp=sharing"",""อุตรดิตถ์!I347"")"),0)</f>
        <v>0</v>
      </c>
      <c r="J452" s="187">
        <f ca="1">IFERROR(__xludf.DUMMYFUNCTION("IMPORTRANGE(""https://docs.google.com/spreadsheets/d/11923uPwbBZFjjGgGUA6NLw09EwE0CqkOc4q9oUmW1yo/edit?usp=sharing"",""อุตรดิตถ์!J347"")"),0)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IFERROR(__xludf.DUMMYFUNCTION("IMPORTRANGE(""https://docs.google.com/spreadsheets/d/11923uPwbBZFjjGgGUA6NLw09EwE0CqkOc4q9oUmW1yo/edit?usp=sharing"",""อุตรดิตถ์!J348"")"),0)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IFERROR(__xludf.DUMMYFUNCTION("IMPORTRANGE(""https://docs.google.com/spreadsheets/d/11923uPwbBZFjjGgGUA6NLw09EwE0CqkOc4q9oUmW1yo/edit?usp=sharing"",""อุตรดิตถ์!J349"")"),0)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IFERROR(__xludf.DUMMYFUNCTION("IMPORTRANGE(""https://docs.google.com/spreadsheets/d/11923uPwbBZFjjGgGUA6NLw09EwE0CqkOc4q9oUmW1yo/edit?usp=sharing"",""อุตรดิตถ์!I350"")"),27138)</f>
        <v>27138</v>
      </c>
      <c r="J455" s="369">
        <f ca="1">IFERROR(__xludf.DUMMYFUNCTION("IMPORTRANGE(""https://docs.google.com/spreadsheets/d/11923uPwbBZFjjGgGUA6NLw09EwE0CqkOc4q9oUmW1yo/edit?usp=sharing"",""อุตรดิตถ์!J350"")"),0)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IFERROR(__xludf.DUMMYFUNCTION("IMPORTRANGE(""https://docs.google.com/spreadsheets/d/11923uPwbBZFjjGgGUA6NLw09EwE0CqkOc4q9oUmW1yo/edit?usp=sharing"",""อุตรดิตถ์!L350"")"),191927)</f>
        <v>191927</v>
      </c>
      <c r="M455" s="371"/>
      <c r="N455" s="371">
        <f ca="1">IFERROR(__xludf.DUMMYFUNCTION("IMPORTRANGE(""https://docs.google.com/spreadsheets/d/11923uPwbBZFjjGgGUA6NLw09EwE0CqkOc4q9oUmW1yo/edit?usp=sharing"",""อุตรดิตถ์!M350"")"),9888)</f>
        <v>9888</v>
      </c>
      <c r="O455" s="371">
        <f t="shared" ref="O455:O459" ca="1" si="116">+IF(L455&gt;0,N455*100/L455,0)</f>
        <v>5.15195881767547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IFERROR(__xludf.DUMMYFUNCTION("IMPORTRANGE(""https://docs.google.com/spreadsheets/d/11923uPwbBZFjjGgGUA6NLw09EwE0CqkOc4q9oUmW1yo/edit?usp=sharing"",""อุตรดิตถ์!L351"")"),0)</f>
        <v>0</v>
      </c>
      <c r="M456" s="164"/>
      <c r="N456" s="168">
        <f ca="1">IFERROR(__xludf.DUMMYFUNCTION("IMPORTRANGE(""https://docs.google.com/spreadsheets/d/11923uPwbBZFjjGgGUA6NLw09EwE0CqkOc4q9oUmW1yo/edit?usp=sharing"",""อุตรดิตถ์!M351"")"),0)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IFERROR(__xludf.DUMMYFUNCTION("IMPORTRANGE(""https://docs.google.com/spreadsheets/d/11923uPwbBZFjjGgGUA6NLw09EwE0CqkOc4q9oUmW1yo/edit?usp=sharing"",""อุตรดิตถ์!L352"")"),191927)</f>
        <v>191927</v>
      </c>
      <c r="M457" s="165"/>
      <c r="N457" s="168">
        <f ca="1">IFERROR(__xludf.DUMMYFUNCTION("IMPORTRANGE(""https://docs.google.com/spreadsheets/d/11923uPwbBZFjjGgGUA6NLw09EwE0CqkOc4q9oUmW1yo/edit?usp=sharing"",""อุตรดิตถ์!M352"")"),9888)</f>
        <v>9888</v>
      </c>
      <c r="O457" s="168">
        <f t="shared" ca="1" si="116"/>
        <v>5.15195881767547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IFERROR(__xludf.DUMMYFUNCTION("IMPORTRANGE(""https://docs.google.com/spreadsheets/d/11923uPwbBZFjjGgGUA6NLw09EwE0CqkOc4q9oUmW1yo/edit?usp=sharing"",""อุตรดิตถ์!L353"")"),0)</f>
        <v>0</v>
      </c>
      <c r="M458" s="168"/>
      <c r="N458" s="168">
        <f ca="1">IFERROR(__xludf.DUMMYFUNCTION("IMPORTRANGE(""https://docs.google.com/spreadsheets/d/11923uPwbBZFjjGgGUA6NLw09EwE0CqkOc4q9oUmW1yo/edit?usp=sharing"",""อุตรดิตถ์!M353"")"),0)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IFERROR(__xludf.DUMMYFUNCTION("IMPORTRANGE(""https://docs.google.com/spreadsheets/d/11923uPwbBZFjjGgGUA6NLw09EwE0CqkOc4q9oUmW1yo/edit?usp=sharing"",""อุตรดิตถ์!L354"")"),191927)</f>
        <v>191927</v>
      </c>
      <c r="M459" s="168"/>
      <c r="N459" s="168">
        <f ca="1">IFERROR(__xludf.DUMMYFUNCTION("IMPORTRANGE(""https://docs.google.com/spreadsheets/d/11923uPwbBZFjjGgGUA6NLw09EwE0CqkOc4q9oUmW1yo/edit?usp=sharing"",""อุตรดิตถ์!M354"")"),9888)</f>
        <v>9888</v>
      </c>
      <c r="O459" s="168">
        <f t="shared" ca="1" si="116"/>
        <v>5.15195881767547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IFERROR(__xludf.DUMMYFUNCTION("IMPORTRANGE(""https://docs.google.com/spreadsheets/d/11923uPwbBZFjjGgGUA6NLw09EwE0CqkOc4q9oUmW1yo/edit?usp=sharing"",""อุตรดิตถ์!M355"")"),0)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IFERROR(__xludf.DUMMYFUNCTION("IMPORTRANGE(""https://docs.google.com/spreadsheets/d/11923uPwbBZFjjGgGUA6NLw09EwE0CqkOc4q9oUmW1yo/edit?usp=sharing"",""อุตรดิตถ์!M356"")"),0)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IFERROR(__xludf.DUMMYFUNCTION("IMPORTRANGE(""https://docs.google.com/spreadsheets/d/11923uPwbBZFjjGgGUA6NLw09EwE0CqkOc4q9oUmW1yo/edit?usp=sharing"",""อุตรดิตถ์!M357"")"),0)</f>
        <v>0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IFERROR(__xludf.DUMMYFUNCTION("IMPORTRANGE(""https://docs.google.com/spreadsheets/d/11923uPwbBZFjjGgGUA6NLw09EwE0CqkOc4q9oUmW1yo/edit?usp=sharing"",""อุตรดิตถ์!M358"")"),9888)</f>
        <v>9888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IFERROR(__xludf.DUMMYFUNCTION("IMPORTRANGE(""https://docs.google.com/spreadsheets/d/11923uPwbBZFjjGgGUA6NLw09EwE0CqkOc4q9oUmW1yo/edit?usp=sharing"",""อุตรดิตถ์!I359"")"),27138)</f>
        <v>27138</v>
      </c>
      <c r="J464" s="266">
        <f ca="1">IFERROR(__xludf.DUMMYFUNCTION("IMPORTRANGE(""https://docs.google.com/spreadsheets/d/11923uPwbBZFjjGgGUA6NLw09EwE0CqkOc4q9oUmW1yo/edit?usp=sharing"",""อุตรดิตถ์!J359"")"),0)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IFERROR(__xludf.DUMMYFUNCTION("IMPORTRANGE(""https://docs.google.com/spreadsheets/d/11923uPwbBZFjjGgGUA6NLw09EwE0CqkOc4q9oUmW1yo/edit?usp=sharing"",""อุตรดิตถ์!I360"")"),27138)</f>
        <v>27138</v>
      </c>
      <c r="J465" s="418">
        <f ca="1">IFERROR(__xludf.DUMMYFUNCTION("IMPORTRANGE(""https://docs.google.com/spreadsheets/d/11923uPwbBZFjjGgGUA6NLw09EwE0CqkOc4q9oUmW1yo/edit?usp=sharing"",""อุตรดิตถ์!J360"")"),0)</f>
        <v>0</v>
      </c>
      <c r="K465" s="201">
        <f t="shared" ca="1" si="117"/>
        <v>0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IFERROR(__xludf.DUMMYFUNCTION("IMPORTRANGE(""https://docs.google.com/spreadsheets/d/11923uPwbBZFjjGgGUA6NLw09EwE0CqkOc4q9oUmW1yo/edit?usp=sharing"",""อุตรดิตถ์!I361"")"),2764)</f>
        <v>2764</v>
      </c>
      <c r="J466" s="418">
        <f ca="1">IFERROR(__xludf.DUMMYFUNCTION("IMPORTRANGE(""https://docs.google.com/spreadsheets/d/11923uPwbBZFjjGgGUA6NLw09EwE0CqkOc4q9oUmW1yo/edit?usp=sharing"",""อุตรดิตถ์!J361"")"),0)</f>
        <v>0</v>
      </c>
      <c r="K466" s="201">
        <f t="shared" ca="1" si="117"/>
        <v>0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IFERROR(__xludf.DUMMYFUNCTION("IMPORTRANGE(""https://docs.google.com/spreadsheets/d/11923uPwbBZFjjGgGUA6NLw09EwE0CqkOc4q9oUmW1yo/edit?usp=sharing"",""อุตรดิตถ์!I362"")"),0)</f>
        <v>0</v>
      </c>
      <c r="J467" s="188">
        <f ca="1">IFERROR(__xludf.DUMMYFUNCTION("IMPORTRANGE(""https://docs.google.com/spreadsheets/d/11923uPwbBZFjjGgGUA6NLw09EwE0CqkOc4q9oUmW1yo/edit?usp=sharing"",""อุตรดิตถ์!J362"")"),0)</f>
        <v>0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IFERROR(__xludf.DUMMYFUNCTION("IMPORTRANGE(""https://docs.google.com/spreadsheets/d/11923uPwbBZFjjGgGUA6NLw09EwE0CqkOc4q9oUmW1yo/edit?usp=sharing"",""อุตรดิตถ์!I363"")"),0)</f>
        <v>0</v>
      </c>
      <c r="J468" s="188">
        <f ca="1">IFERROR(__xludf.DUMMYFUNCTION("IMPORTRANGE(""https://docs.google.com/spreadsheets/d/11923uPwbBZFjjGgGUA6NLw09EwE0CqkOc4q9oUmW1yo/edit?usp=sharing"",""อุตรดิตถ์!J363"")"),0)</f>
        <v>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IFERROR(__xludf.DUMMYFUNCTION("IMPORTRANGE(""https://docs.google.com/spreadsheets/d/11923uPwbBZFjjGgGUA6NLw09EwE0CqkOc4q9oUmW1yo/edit?usp=sharing"",""อุตรดิตถ์!I364"")"),0)</f>
        <v>0</v>
      </c>
      <c r="J469" s="188">
        <f ca="1">IFERROR(__xludf.DUMMYFUNCTION("IMPORTRANGE(""https://docs.google.com/spreadsheets/d/11923uPwbBZFjjGgGUA6NLw09EwE0CqkOc4q9oUmW1yo/edit?usp=sharing"",""อุตรดิตถ์!J364"")"),0)</f>
        <v>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IFERROR(__xludf.DUMMYFUNCTION("IMPORTRANGE(""https://docs.google.com/spreadsheets/d/11923uPwbBZFjjGgGUA6NLw09EwE0CqkOc4q9oUmW1yo/edit?usp=sharing"",""อุตรดิตถ์!I365"")"),0)</f>
        <v>0</v>
      </c>
      <c r="J470" s="188">
        <f ca="1">IFERROR(__xludf.DUMMYFUNCTION("IMPORTRANGE(""https://docs.google.com/spreadsheets/d/11923uPwbBZFjjGgGUA6NLw09EwE0CqkOc4q9oUmW1yo/edit?usp=sharing"",""อุตรดิตถ์!J365"")"),0)</f>
        <v>0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IFERROR(__xludf.DUMMYFUNCTION("IMPORTRANGE(""https://docs.google.com/spreadsheets/d/11923uPwbBZFjjGgGUA6NLw09EwE0CqkOc4q9oUmW1yo/edit?usp=sharing"",""อุตรดิตถ์!I366"")"),0)</f>
        <v>0</v>
      </c>
      <c r="J471" s="188">
        <f ca="1">IFERROR(__xludf.DUMMYFUNCTION("IMPORTRANGE(""https://docs.google.com/spreadsheets/d/11923uPwbBZFjjGgGUA6NLw09EwE0CqkOc4q9oUmW1yo/edit?usp=sharing"",""อุตรดิตถ์!J366"")"),0)</f>
        <v>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IFERROR(__xludf.DUMMYFUNCTION("IMPORTRANGE(""https://docs.google.com/spreadsheets/d/11923uPwbBZFjjGgGUA6NLw09EwE0CqkOc4q9oUmW1yo/edit?usp=sharing"",""อุตรดิตถ์!I367"")"),0)</f>
        <v>0</v>
      </c>
      <c r="J472" s="188">
        <f ca="1">IFERROR(__xludf.DUMMYFUNCTION("IMPORTRANGE(""https://docs.google.com/spreadsheets/d/11923uPwbBZFjjGgGUA6NLw09EwE0CqkOc4q9oUmW1yo/edit?usp=sharing"",""อุตรดิตถ์!J367"")"),0)</f>
        <v>0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IFERROR(__xludf.DUMMYFUNCTION("IMPORTRANGE(""https://docs.google.com/spreadsheets/d/11923uPwbBZFjjGgGUA6NLw09EwE0CqkOc4q9oUmW1yo/edit?usp=sharing"",""อุตรดิตถ์!I368"")"),27138)</f>
        <v>27138</v>
      </c>
      <c r="J473" s="418">
        <f ca="1">IFERROR(__xludf.DUMMYFUNCTION("IMPORTRANGE(""https://docs.google.com/spreadsheets/d/11923uPwbBZFjjGgGUA6NLw09EwE0CqkOc4q9oUmW1yo/edit?usp=sharing"",""อุตรดิตถ์!J368"")"),0)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IFERROR(__xludf.DUMMYFUNCTION("IMPORTRANGE(""https://docs.google.com/spreadsheets/d/11923uPwbBZFjjGgGUA6NLw09EwE0CqkOc4q9oUmW1yo/edit?usp=sharing"",""อุตรดิตถ์!I369"")"),2764)</f>
        <v>2764</v>
      </c>
      <c r="J474" s="418">
        <f ca="1">IFERROR(__xludf.DUMMYFUNCTION("IMPORTRANGE(""https://docs.google.com/spreadsheets/d/11923uPwbBZFjjGgGUA6NLw09EwE0CqkOc4q9oUmW1yo/edit?usp=sharing"",""อุตรดิตถ์!J369"")"),0)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IFERROR(__xludf.DUMMYFUNCTION("IMPORTRANGE(""https://docs.google.com/spreadsheets/d/11923uPwbBZFjjGgGUA6NLw09EwE0CqkOc4q9oUmW1yo/edit?usp=sharing"",""อุตรดิตถ์!I370"")"),0)</f>
        <v>0</v>
      </c>
      <c r="J475" s="188">
        <f ca="1">IFERROR(__xludf.DUMMYFUNCTION("IMPORTRANGE(""https://docs.google.com/spreadsheets/d/11923uPwbBZFjjGgGUA6NLw09EwE0CqkOc4q9oUmW1yo/edit?usp=sharing"",""อุตรดิตถ์!J370"")"),0)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IFERROR(__xludf.DUMMYFUNCTION("IMPORTRANGE(""https://docs.google.com/spreadsheets/d/11923uPwbBZFjjGgGUA6NLw09EwE0CqkOc4q9oUmW1yo/edit?usp=sharing"",""อุตรดิตถ์!I371"")"),0)</f>
        <v>0</v>
      </c>
      <c r="J476" s="188">
        <f ca="1">IFERROR(__xludf.DUMMYFUNCTION("IMPORTRANGE(""https://docs.google.com/spreadsheets/d/11923uPwbBZFjjGgGUA6NLw09EwE0CqkOc4q9oUmW1yo/edit?usp=sharing"",""อุตรดิตถ์!J371"")"),0)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IFERROR(__xludf.DUMMYFUNCTION("IMPORTRANGE(""https://docs.google.com/spreadsheets/d/11923uPwbBZFjjGgGUA6NLw09EwE0CqkOc4q9oUmW1yo/edit?usp=sharing"",""อุตรดิตถ์!I372"")"),0)</f>
        <v>0</v>
      </c>
      <c r="J477" s="188">
        <f ca="1">IFERROR(__xludf.DUMMYFUNCTION("IMPORTRANGE(""https://docs.google.com/spreadsheets/d/11923uPwbBZFjjGgGUA6NLw09EwE0CqkOc4q9oUmW1yo/edit?usp=sharing"",""อุตรดิตถ์!J372"")"),0)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IFERROR(__xludf.DUMMYFUNCTION("IMPORTRANGE(""https://docs.google.com/spreadsheets/d/11923uPwbBZFjjGgGUA6NLw09EwE0CqkOc4q9oUmW1yo/edit?usp=sharing"",""อุตรดิตถ์!I373"")"),0)</f>
        <v>0</v>
      </c>
      <c r="J478" s="188">
        <f ca="1">IFERROR(__xludf.DUMMYFUNCTION("IMPORTRANGE(""https://docs.google.com/spreadsheets/d/11923uPwbBZFjjGgGUA6NLw09EwE0CqkOc4q9oUmW1yo/edit?usp=sharing"",""อุตรดิตถ์!J373"")"),0)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IFERROR(__xludf.DUMMYFUNCTION("IMPORTRANGE(""https://docs.google.com/spreadsheets/d/11923uPwbBZFjjGgGUA6NLw09EwE0CqkOc4q9oUmW1yo/edit?usp=sharing"",""อุตรดิตถ์!I374"")"),0)</f>
        <v>0</v>
      </c>
      <c r="J479" s="188">
        <f ca="1">IFERROR(__xludf.DUMMYFUNCTION("IMPORTRANGE(""https://docs.google.com/spreadsheets/d/11923uPwbBZFjjGgGUA6NLw09EwE0CqkOc4q9oUmW1yo/edit?usp=sharing"",""อุตรดิตถ์!J374"")"),0)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IFERROR(__xludf.DUMMYFUNCTION("IMPORTRANGE(""https://docs.google.com/spreadsheets/d/11923uPwbBZFjjGgGUA6NLw09EwE0CqkOc4q9oUmW1yo/edit?usp=sharing"",""อุตรดิตถ์!I375"")"),0)</f>
        <v>0</v>
      </c>
      <c r="J480" s="188">
        <f ca="1">IFERROR(__xludf.DUMMYFUNCTION("IMPORTRANGE(""https://docs.google.com/spreadsheets/d/11923uPwbBZFjjGgGUA6NLw09EwE0CqkOc4q9oUmW1yo/edit?usp=sharing"",""อุตรดิตถ์!J375"")"),0)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IFERROR(__xludf.DUMMYFUNCTION("IMPORTRANGE(""https://docs.google.com/spreadsheets/d/11923uPwbBZFjjGgGUA6NLw09EwE0CqkOc4q9oUmW1yo/edit?usp=sharing"",""อุตรดิตถ์!I376"")"),27138)</f>
        <v>27138</v>
      </c>
      <c r="J481" s="418">
        <f ca="1">IFERROR(__xludf.DUMMYFUNCTION("IMPORTRANGE(""https://docs.google.com/spreadsheets/d/11923uPwbBZFjjGgGUA6NLw09EwE0CqkOc4q9oUmW1yo/edit?usp=sharing"",""อุตรดิตถ์!J376"")"),0)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IFERROR(__xludf.DUMMYFUNCTION("IMPORTRANGE(""https://docs.google.com/spreadsheets/d/11923uPwbBZFjjGgGUA6NLw09EwE0CqkOc4q9oUmW1yo/edit?usp=sharing"",""อุตรดิตถ์!I377"")"),2764)</f>
        <v>2764</v>
      </c>
      <c r="J482" s="418">
        <f ca="1">IFERROR(__xludf.DUMMYFUNCTION("IMPORTRANGE(""https://docs.google.com/spreadsheets/d/11923uPwbBZFjjGgGUA6NLw09EwE0CqkOc4q9oUmW1yo/edit?usp=sharing"",""อุตรดิตถ์!J377"")"),0)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IFERROR(__xludf.DUMMYFUNCTION("IMPORTRANGE(""https://docs.google.com/spreadsheets/d/11923uPwbBZFjjGgGUA6NLw09EwE0CqkOc4q9oUmW1yo/edit?usp=sharing"",""อุตรดิตถ์!I378"")"),0)</f>
        <v>0</v>
      </c>
      <c r="J483" s="188">
        <f ca="1">IFERROR(__xludf.DUMMYFUNCTION("IMPORTRANGE(""https://docs.google.com/spreadsheets/d/11923uPwbBZFjjGgGUA6NLw09EwE0CqkOc4q9oUmW1yo/edit?usp=sharing"",""อุตรดิตถ์!J378"")"),0)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IFERROR(__xludf.DUMMYFUNCTION("IMPORTRANGE(""https://docs.google.com/spreadsheets/d/11923uPwbBZFjjGgGUA6NLw09EwE0CqkOc4q9oUmW1yo/edit?usp=sharing"",""อุตรดิตถ์!I379"")"),0)</f>
        <v>0</v>
      </c>
      <c r="J484" s="188">
        <f ca="1">IFERROR(__xludf.DUMMYFUNCTION("IMPORTRANGE(""https://docs.google.com/spreadsheets/d/11923uPwbBZFjjGgGUA6NLw09EwE0CqkOc4q9oUmW1yo/edit?usp=sharing"",""อุตรดิตถ์!J379"")"),0)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IFERROR(__xludf.DUMMYFUNCTION("IMPORTRANGE(""https://docs.google.com/spreadsheets/d/11923uPwbBZFjjGgGUA6NLw09EwE0CqkOc4q9oUmW1yo/edit?usp=sharing"",""อุตรดิตถ์!I380"")"),0)</f>
        <v>0</v>
      </c>
      <c r="J485" s="188">
        <f ca="1">IFERROR(__xludf.DUMMYFUNCTION("IMPORTRANGE(""https://docs.google.com/spreadsheets/d/11923uPwbBZFjjGgGUA6NLw09EwE0CqkOc4q9oUmW1yo/edit?usp=sharing"",""อุตรดิตถ์!J380"")"),0)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IFERROR(__xludf.DUMMYFUNCTION("IMPORTRANGE(""https://docs.google.com/spreadsheets/d/11923uPwbBZFjjGgGUA6NLw09EwE0CqkOc4q9oUmW1yo/edit?usp=sharing"",""อุตรดิตถ์!I381"")"),0)</f>
        <v>0</v>
      </c>
      <c r="J486" s="188">
        <f ca="1">IFERROR(__xludf.DUMMYFUNCTION("IMPORTRANGE(""https://docs.google.com/spreadsheets/d/11923uPwbBZFjjGgGUA6NLw09EwE0CqkOc4q9oUmW1yo/edit?usp=sharing"",""อุตรดิตถ์!J381"")"),0)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IFERROR(__xludf.DUMMYFUNCTION("IMPORTRANGE(""https://docs.google.com/spreadsheets/d/11923uPwbBZFjjGgGUA6NLw09EwE0CqkOc4q9oUmW1yo/edit?usp=sharing"",""อุตรดิตถ์!I382"")"),0)</f>
        <v>0</v>
      </c>
      <c r="J487" s="418">
        <f ca="1">IFERROR(__xludf.DUMMYFUNCTION("IMPORTRANGE(""https://docs.google.com/spreadsheets/d/11923uPwbBZFjjGgGUA6NLw09EwE0CqkOc4q9oUmW1yo/edit?usp=sharing"",""อุตรดิตถ์!J382"")"),0)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IFERROR(__xludf.DUMMYFUNCTION("IMPORTRANGE(""https://docs.google.com/spreadsheets/d/11923uPwbBZFjjGgGUA6NLw09EwE0CqkOc4q9oUmW1yo/edit?usp=sharing"",""อุตรดิตถ์!I383"")"),0)</f>
        <v>0</v>
      </c>
      <c r="J488" s="418">
        <f ca="1">IFERROR(__xludf.DUMMYFUNCTION("IMPORTRANGE(""https://docs.google.com/spreadsheets/d/11923uPwbBZFjjGgGUA6NLw09EwE0CqkOc4q9oUmW1yo/edit?usp=sharing"",""อุตรดิตถ์!J383"")"),0)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IFERROR(__xludf.DUMMYFUNCTION("IMPORTRANGE(""https://docs.google.com/spreadsheets/d/11923uPwbBZFjjGgGUA6NLw09EwE0CqkOc4q9oUmW1yo/edit?usp=sharing"",""อุตรดิตถ์!I384"")"),0)</f>
        <v>0</v>
      </c>
      <c r="J489" s="188">
        <f ca="1">IFERROR(__xludf.DUMMYFUNCTION("IMPORTRANGE(""https://docs.google.com/spreadsheets/d/11923uPwbBZFjjGgGUA6NLw09EwE0CqkOc4q9oUmW1yo/edit?usp=sharing"",""อุตรดิตถ์!J384"")"),0)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IFERROR(__xludf.DUMMYFUNCTION("IMPORTRANGE(""https://docs.google.com/spreadsheets/d/11923uPwbBZFjjGgGUA6NLw09EwE0CqkOc4q9oUmW1yo/edit?usp=sharing"",""อุตรดิตถ์!I385"")"),0)</f>
        <v>0</v>
      </c>
      <c r="J490" s="188">
        <f ca="1">IFERROR(__xludf.DUMMYFUNCTION("IMPORTRANGE(""https://docs.google.com/spreadsheets/d/11923uPwbBZFjjGgGUA6NLw09EwE0CqkOc4q9oUmW1yo/edit?usp=sharing"",""อุตรดิตถ์!J385"")"),0)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IFERROR(__xludf.DUMMYFUNCTION("IMPORTRANGE(""https://docs.google.com/spreadsheets/d/11923uPwbBZFjjGgGUA6NLw09EwE0CqkOc4q9oUmW1yo/edit?usp=sharing"",""อุตรดิตถ์!I386"")"),0)</f>
        <v>0</v>
      </c>
      <c r="J491" s="188">
        <f ca="1">IFERROR(__xludf.DUMMYFUNCTION("IMPORTRANGE(""https://docs.google.com/spreadsheets/d/11923uPwbBZFjjGgGUA6NLw09EwE0CqkOc4q9oUmW1yo/edit?usp=sharing"",""อุตรดิตถ์!J386"")"),0)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IFERROR(__xludf.DUMMYFUNCTION("IMPORTRANGE(""https://docs.google.com/spreadsheets/d/11923uPwbBZFjjGgGUA6NLw09EwE0CqkOc4q9oUmW1yo/edit?usp=sharing"",""อุตรดิตถ์!I387"")"),0)</f>
        <v>0</v>
      </c>
      <c r="J492" s="188">
        <f ca="1">IFERROR(__xludf.DUMMYFUNCTION("IMPORTRANGE(""https://docs.google.com/spreadsheets/d/11923uPwbBZFjjGgGUA6NLw09EwE0CqkOc4q9oUmW1yo/edit?usp=sharing"",""อุตรดิตถ์!J387"")"),0)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IFERROR(__xludf.DUMMYFUNCTION("IMPORTRANGE(""https://docs.google.com/spreadsheets/d/11923uPwbBZFjjGgGUA6NLw09EwE0CqkOc4q9oUmW1yo/edit?usp=sharing"",""อุตรดิตถ์!I388"")"),0)</f>
        <v>0</v>
      </c>
      <c r="J493" s="188">
        <f ca="1">IFERROR(__xludf.DUMMYFUNCTION("IMPORTRANGE(""https://docs.google.com/spreadsheets/d/11923uPwbBZFjjGgGUA6NLw09EwE0CqkOc4q9oUmW1yo/edit?usp=sharing"",""อุตรดิตถ์!J388"")"),0)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IFERROR(__xludf.DUMMYFUNCTION("IMPORTRANGE(""https://docs.google.com/spreadsheets/d/11923uPwbBZFjjGgGUA6NLw09EwE0CqkOc4q9oUmW1yo/edit?usp=sharing"",""อุตรดิตถ์!I389"")"),0)</f>
        <v>0</v>
      </c>
      <c r="J494" s="434">
        <f ca="1">IFERROR(__xludf.DUMMYFUNCTION("IMPORTRANGE(""https://docs.google.com/spreadsheets/d/11923uPwbBZFjjGgGUA6NLw09EwE0CqkOc4q9oUmW1yo/edit?usp=sharing"",""อุตรดิตถ์!J389"")"),0)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IFERROR(__xludf.DUMMYFUNCTION("IMPORTRANGE(""https://docs.google.com/spreadsheets/d/11923uPwbBZFjjGgGUA6NLw09EwE0CqkOc4q9oUmW1yo/edit?usp=sharing"",""อุตรดิตถ์!I390"")"),0)</f>
        <v>0</v>
      </c>
      <c r="J495" s="434">
        <f ca="1">IFERROR(__xludf.DUMMYFUNCTION("IMPORTRANGE(""https://docs.google.com/spreadsheets/d/11923uPwbBZFjjGgGUA6NLw09EwE0CqkOc4q9oUmW1yo/edit?usp=sharing"",""อุตรดิตถ์!J390"")"),0)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IFERROR(__xludf.DUMMYFUNCTION("IMPORTRANGE(""https://docs.google.com/spreadsheets/d/11923uPwbBZFjjGgGUA6NLw09EwE0CqkOc4q9oUmW1yo/edit?usp=sharing"",""อุตรดิตถ์!I391"")"),0)</f>
        <v>0</v>
      </c>
      <c r="J496" s="434">
        <f ca="1">IFERROR(__xludf.DUMMYFUNCTION("IMPORTRANGE(""https://docs.google.com/spreadsheets/d/11923uPwbBZFjjGgGUA6NLw09EwE0CqkOc4q9oUmW1yo/edit?usp=sharing"",""อุตรดิตถ์!J391"")"),0)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IFERROR(__xludf.DUMMYFUNCTION("IMPORTRANGE(""https://docs.google.com/spreadsheets/d/11923uPwbBZFjjGgGUA6NLw09EwE0CqkOc4q9oUmW1yo/edit?usp=sharing"",""อุตรดิตถ์!I392"")"),12)</f>
        <v>12</v>
      </c>
      <c r="J497" s="441">
        <f ca="1">IFERROR(__xludf.DUMMYFUNCTION("IMPORTRANGE(""https://docs.google.com/spreadsheets/d/11923uPwbBZFjjGgGUA6NLw09EwE0CqkOc4q9oUmW1yo/edit?usp=sharing"",""อุตรดิตถ์!J392"")"),0)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IFERROR(__xludf.DUMMYFUNCTION("IMPORTRANGE(""https://docs.google.com/spreadsheets/d/11923uPwbBZFjjGgGUA6NLw09EwE0CqkOc4q9oUmW1yo/edit?usp=sharing"",""อุตรดิตถ์!I393"")"),12)</f>
        <v>12</v>
      </c>
      <c r="J498" s="418">
        <f ca="1">IFERROR(__xludf.DUMMYFUNCTION("IMPORTRANGE(""https://docs.google.com/spreadsheets/d/11923uPwbBZFjjGgGUA6NLw09EwE0CqkOc4q9oUmW1yo/edit?usp=sharing"",""อุตรดิตถ์!J393"")"),0)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IFERROR(__xludf.DUMMYFUNCTION("IMPORTRANGE(""https://docs.google.com/spreadsheets/d/11923uPwbBZFjjGgGUA6NLw09EwE0CqkOc4q9oUmW1yo/edit?usp=sharing"",""อุตรดิตถ์!I394"")"),4)</f>
        <v>4</v>
      </c>
      <c r="J499" s="418">
        <f ca="1">IFERROR(__xludf.DUMMYFUNCTION("IMPORTRANGE(""https://docs.google.com/spreadsheets/d/11923uPwbBZFjjGgGUA6NLw09EwE0CqkOc4q9oUmW1yo/edit?usp=sharing"",""อุตรดิตถ์!J394"")"),0)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IFERROR(__xludf.DUMMYFUNCTION("IMPORTRANGE(""https://docs.google.com/spreadsheets/d/11923uPwbBZFjjGgGUA6NLw09EwE0CqkOc4q9oUmW1yo/edit?usp=sharing"",""อุตรดิตถ์!I395"")"),0)</f>
        <v>0</v>
      </c>
      <c r="J500" s="162">
        <f ca="1">IFERROR(__xludf.DUMMYFUNCTION("IMPORTRANGE(""https://docs.google.com/spreadsheets/d/11923uPwbBZFjjGgGUA6NLw09EwE0CqkOc4q9oUmW1yo/edit?usp=sharing"",""อุตรดิตถ์!J395"")"),0)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IFERROR(__xludf.DUMMYFUNCTION("IMPORTRANGE(""https://docs.google.com/spreadsheets/d/11923uPwbBZFjjGgGUA6NLw09EwE0CqkOc4q9oUmW1yo/edit?usp=sharing"",""อุตรดิตถ์!I396"")"),0)</f>
        <v>0</v>
      </c>
      <c r="J501" s="162">
        <f ca="1">IFERROR(__xludf.DUMMYFUNCTION("IMPORTRANGE(""https://docs.google.com/spreadsheets/d/11923uPwbBZFjjGgGUA6NLw09EwE0CqkOc4q9oUmW1yo/edit?usp=sharing"",""อุตรดิตถ์!J396"")"),0)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IFERROR(__xludf.DUMMYFUNCTION("IMPORTRANGE(""https://docs.google.com/spreadsheets/d/11923uPwbBZFjjGgGUA6NLw09EwE0CqkOc4q9oUmW1yo/edit?usp=sharing"",""อุตรดิตถ์!I397"")"),0)</f>
        <v>0</v>
      </c>
      <c r="J502" s="188">
        <f ca="1">IFERROR(__xludf.DUMMYFUNCTION("IMPORTRANGE(""https://docs.google.com/spreadsheets/d/11923uPwbBZFjjGgGUA6NLw09EwE0CqkOc4q9oUmW1yo/edit?usp=sharing"",""อุตรดิตถ์!J397"")"),0)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IFERROR(__xludf.DUMMYFUNCTION("IMPORTRANGE(""https://docs.google.com/spreadsheets/d/11923uPwbBZFjjGgGUA6NLw09EwE0CqkOc4q9oUmW1yo/edit?usp=sharing"",""อุตรดิตถ์!I398"")"),0)</f>
        <v>0</v>
      </c>
      <c r="J503" s="197">
        <f ca="1">IFERROR(__xludf.DUMMYFUNCTION("IMPORTRANGE(""https://docs.google.com/spreadsheets/d/11923uPwbBZFjjGgGUA6NLw09EwE0CqkOc4q9oUmW1yo/edit?usp=sharing"",""อุตรดิตถ์!J398"")"),0)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IFERROR(__xludf.DUMMYFUNCTION("IMPORTRANGE(""https://docs.google.com/spreadsheets/d/11923uPwbBZFjjGgGUA6NLw09EwE0CqkOc4q9oUmW1yo/edit?usp=sharing"",""อุตรดิตถ์!I399"")"),0)</f>
        <v>0</v>
      </c>
      <c r="J504" s="188">
        <f ca="1">IFERROR(__xludf.DUMMYFUNCTION("IMPORTRANGE(""https://docs.google.com/spreadsheets/d/11923uPwbBZFjjGgGUA6NLw09EwE0CqkOc4q9oUmW1yo/edit?usp=sharing"",""อุตรดิตถ์!J399"")"),0)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IFERROR(__xludf.DUMMYFUNCTION("IMPORTRANGE(""https://docs.google.com/spreadsheets/d/11923uPwbBZFjjGgGUA6NLw09EwE0CqkOc4q9oUmW1yo/edit?usp=sharing"",""อุตรดิตถ์!I400"")"),0)</f>
        <v>0</v>
      </c>
      <c r="J505" s="197">
        <f ca="1">IFERROR(__xludf.DUMMYFUNCTION("IMPORTRANGE(""https://docs.google.com/spreadsheets/d/11923uPwbBZFjjGgGUA6NLw09EwE0CqkOc4q9oUmW1yo/edit?usp=sharing"",""อุตรดิตถ์!J400"")"),0)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IFERROR(__xludf.DUMMYFUNCTION("IMPORTRANGE(""https://docs.google.com/spreadsheets/d/11923uPwbBZFjjGgGUA6NLw09EwE0CqkOc4q9oUmW1yo/edit?usp=sharing"",""อุตรดิตถ์!I401"")"),0)</f>
        <v>0</v>
      </c>
      <c r="J506" s="188">
        <f ca="1">IFERROR(__xludf.DUMMYFUNCTION("IMPORTRANGE(""https://docs.google.com/spreadsheets/d/11923uPwbBZFjjGgGUA6NLw09EwE0CqkOc4q9oUmW1yo/edit?usp=sharing"",""อุตรดิตถ์!J401"")"),0)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IFERROR(__xludf.DUMMYFUNCTION("IMPORTRANGE(""https://docs.google.com/spreadsheets/d/11923uPwbBZFjjGgGUA6NLw09EwE0CqkOc4q9oUmW1yo/edit?usp=sharing"",""อุตรดิตถ์!I402"")"),0)</f>
        <v>0</v>
      </c>
      <c r="J507" s="197">
        <f ca="1">IFERROR(__xludf.DUMMYFUNCTION("IMPORTRANGE(""https://docs.google.com/spreadsheets/d/11923uPwbBZFjjGgGUA6NLw09EwE0CqkOc4q9oUmW1yo/edit?usp=sharing"",""อุตรดิตถ์!J402"")"),0)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IFERROR(__xludf.DUMMYFUNCTION("IMPORTRANGE(""https://docs.google.com/spreadsheets/d/11923uPwbBZFjjGgGUA6NLw09EwE0CqkOc4q9oUmW1yo/edit?usp=sharing"",""อุตรดิตถ์!I403"")"),0)</f>
        <v>0</v>
      </c>
      <c r="J508" s="162">
        <f ca="1">IFERROR(__xludf.DUMMYFUNCTION("IMPORTRANGE(""https://docs.google.com/spreadsheets/d/11923uPwbBZFjjGgGUA6NLw09EwE0CqkOc4q9oUmW1yo/edit?usp=sharing"",""อุตรดิตถ์!J403"")"),0)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IFERROR(__xludf.DUMMYFUNCTION("IMPORTRANGE(""https://docs.google.com/spreadsheets/d/11923uPwbBZFjjGgGUA6NLw09EwE0CqkOc4q9oUmW1yo/edit?usp=sharing"",""อุตรดิตถ์!I404"")"),0)</f>
        <v>0</v>
      </c>
      <c r="J509" s="162">
        <f ca="1">IFERROR(__xludf.DUMMYFUNCTION("IMPORTRANGE(""https://docs.google.com/spreadsheets/d/11923uPwbBZFjjGgGUA6NLw09EwE0CqkOc4q9oUmW1yo/edit?usp=sharing"",""อุตรดิตถ์!J404"")"),0)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IFERROR(__xludf.DUMMYFUNCTION("IMPORTRANGE(""https://docs.google.com/spreadsheets/d/11923uPwbBZFjjGgGUA6NLw09EwE0CqkOc4q9oUmW1yo/edit?usp=sharing"",""อุตรดิตถ์!I405"")"),0)</f>
        <v>0</v>
      </c>
      <c r="J510" s="197">
        <f ca="1">IFERROR(__xludf.DUMMYFUNCTION("IMPORTRANGE(""https://docs.google.com/spreadsheets/d/11923uPwbBZFjjGgGUA6NLw09EwE0CqkOc4q9oUmW1yo/edit?usp=sharing"",""อุตรดิตถ์!J405"")"),0)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IFERROR(__xludf.DUMMYFUNCTION("IMPORTRANGE(""https://docs.google.com/spreadsheets/d/11923uPwbBZFjjGgGUA6NLw09EwE0CqkOc4q9oUmW1yo/edit?usp=sharing"",""อุตรดิตถ์!I406"")"),0)</f>
        <v>0</v>
      </c>
      <c r="J511" s="197">
        <f ca="1">IFERROR(__xludf.DUMMYFUNCTION("IMPORTRANGE(""https://docs.google.com/spreadsheets/d/11923uPwbBZFjjGgGUA6NLw09EwE0CqkOc4q9oUmW1yo/edit?usp=sharing"",""อุตรดิตถ์!J406"")"),0)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IFERROR(__xludf.DUMMYFUNCTION("IMPORTRANGE(""https://docs.google.com/spreadsheets/d/11923uPwbBZFjjGgGUA6NLw09EwE0CqkOc4q9oUmW1yo/edit?usp=sharing"",""อุตรดิตถ์!I407"")"),0)</f>
        <v>0</v>
      </c>
      <c r="J512" s="197">
        <f ca="1">IFERROR(__xludf.DUMMYFUNCTION("IMPORTRANGE(""https://docs.google.com/spreadsheets/d/11923uPwbBZFjjGgGUA6NLw09EwE0CqkOc4q9oUmW1yo/edit?usp=sharing"",""อุตรดิตถ์!J407"")"),0)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IFERROR(__xludf.DUMMYFUNCTION("IMPORTRANGE(""https://docs.google.com/spreadsheets/d/11923uPwbBZFjjGgGUA6NLw09EwE0CqkOc4q9oUmW1yo/edit?usp=sharing"",""อุตรดิตถ์!I408"")"),0)</f>
        <v>0</v>
      </c>
      <c r="J513" s="197">
        <f ca="1">IFERROR(__xludf.DUMMYFUNCTION("IMPORTRANGE(""https://docs.google.com/spreadsheets/d/11923uPwbBZFjjGgGUA6NLw09EwE0CqkOc4q9oUmW1yo/edit?usp=sharing"",""อุตรดิตถ์!J408"")"),0)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IFERROR(__xludf.DUMMYFUNCTION("IMPORTRANGE(""https://docs.google.com/spreadsheets/d/11923uPwbBZFjjGgGUA6NLw09EwE0CqkOc4q9oUmW1yo/edit?usp=sharing"",""อุตรดิตถ์!I409"")"),0)</f>
        <v>0</v>
      </c>
      <c r="J514" s="197">
        <f ca="1">IFERROR(__xludf.DUMMYFUNCTION("IMPORTRANGE(""https://docs.google.com/spreadsheets/d/11923uPwbBZFjjGgGUA6NLw09EwE0CqkOc4q9oUmW1yo/edit?usp=sharing"",""อุตรดิตถ์!J409"")"),0)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IFERROR(__xludf.DUMMYFUNCTION("IMPORTRANGE(""https://docs.google.com/spreadsheets/d/11923uPwbBZFjjGgGUA6NLw09EwE0CqkOc4q9oUmW1yo/edit?usp=sharing"",""อุตรดิตถ์!I410"")"),0)</f>
        <v>0</v>
      </c>
      <c r="J515" s="197">
        <f ca="1">IFERROR(__xludf.DUMMYFUNCTION("IMPORTRANGE(""https://docs.google.com/spreadsheets/d/11923uPwbBZFjjGgGUA6NLw09EwE0CqkOc4q9oUmW1yo/edit?usp=sharing"",""อุตรดิตถ์!J410"")"),0)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IFERROR(__xludf.DUMMYFUNCTION("IMPORTRANGE(""https://docs.google.com/spreadsheets/d/11923uPwbBZFjjGgGUA6NLw09EwE0CqkOc4q9oUmW1yo/edit?usp=sharing"",""อุตรดิตถ์!I411"")"),0)</f>
        <v>0</v>
      </c>
      <c r="J516" s="266">
        <f ca="1">IFERROR(__xludf.DUMMYFUNCTION("IMPORTRANGE(""https://docs.google.com/spreadsheets/d/11923uPwbBZFjjGgGUA6NLw09EwE0CqkOc4q9oUmW1yo/edit?usp=sharing"",""อุตรดิตถ์!J411"")"),0)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IFERROR(__xludf.DUMMYFUNCTION("IMPORTRANGE(""https://docs.google.com/spreadsheets/d/11923uPwbBZFjjGgGUA6NLw09EwE0CqkOc4q9oUmW1yo/edit?usp=sharing"",""อุตรดิตถ์!I412"")"),0)</f>
        <v>0</v>
      </c>
      <c r="J517" s="282">
        <f ca="1">IFERROR(__xludf.DUMMYFUNCTION("IMPORTRANGE(""https://docs.google.com/spreadsheets/d/11923uPwbBZFjjGgGUA6NLw09EwE0CqkOc4q9oUmW1yo/edit?usp=sharing"",""อุตรดิตถ์!J412"")"),0)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IFERROR(__xludf.DUMMYFUNCTION("IMPORTRANGE(""https://docs.google.com/spreadsheets/d/11923uPwbBZFjjGgGUA6NLw09EwE0CqkOc4q9oUmW1yo/edit?usp=sharing"",""อุตรดิตถ์!I413"")"),0)</f>
        <v>0</v>
      </c>
      <c r="J518" s="282">
        <f ca="1">IFERROR(__xludf.DUMMYFUNCTION("IMPORTRANGE(""https://docs.google.com/spreadsheets/d/11923uPwbBZFjjGgGUA6NLw09EwE0CqkOc4q9oUmW1yo/edit?usp=sharing"",""อุตรดิตถ์!J413"")"),0)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IFERROR(__xludf.DUMMYFUNCTION("IMPORTRANGE(""https://docs.google.com/spreadsheets/d/11923uPwbBZFjjGgGUA6NLw09EwE0CqkOc4q9oUmW1yo/edit?usp=sharing"",""อุตรดิตถ์!I414"")"),0)</f>
        <v>0</v>
      </c>
      <c r="J519" s="187">
        <f ca="1">IFERROR(__xludf.DUMMYFUNCTION("IMPORTRANGE(""https://docs.google.com/spreadsheets/d/11923uPwbBZFjjGgGUA6NLw09EwE0CqkOc4q9oUmW1yo/edit?usp=sharing"",""อุตรดิตถ์!J414"")"),0)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IFERROR(__xludf.DUMMYFUNCTION("IMPORTRANGE(""https://docs.google.com/spreadsheets/d/11923uPwbBZFjjGgGUA6NLw09EwE0CqkOc4q9oUmW1yo/edit?usp=sharing"",""อุตรดิตถ์!I415"")"),0)</f>
        <v>0</v>
      </c>
      <c r="J520" s="187">
        <f ca="1">IFERROR(__xludf.DUMMYFUNCTION("IMPORTRANGE(""https://docs.google.com/spreadsheets/d/11923uPwbBZFjjGgGUA6NLw09EwE0CqkOc4q9oUmW1yo/edit?usp=sharing"",""อุตรดิตถ์!J415"")"),0)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IFERROR(__xludf.DUMMYFUNCTION("IMPORTRANGE(""https://docs.google.com/spreadsheets/d/11923uPwbBZFjjGgGUA6NLw09EwE0CqkOc4q9oUmW1yo/edit?usp=sharing"",""อุตรดิตถ์!I416"")"),0)</f>
        <v>0</v>
      </c>
      <c r="J521" s="187">
        <f ca="1">IFERROR(__xludf.DUMMYFUNCTION("IMPORTRANGE(""https://docs.google.com/spreadsheets/d/11923uPwbBZFjjGgGUA6NLw09EwE0CqkOc4q9oUmW1yo/edit?usp=sharing"",""อุตรดิตถ์!J416"")"),0)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IFERROR(__xludf.DUMMYFUNCTION("IMPORTRANGE(""https://docs.google.com/spreadsheets/d/11923uPwbBZFjjGgGUA6NLw09EwE0CqkOc4q9oUmW1yo/edit?usp=sharing"",""อุตรดิตถ์!I417"")"),0)</f>
        <v>0</v>
      </c>
      <c r="J522" s="187">
        <f ca="1">IFERROR(__xludf.DUMMYFUNCTION("IMPORTRANGE(""https://docs.google.com/spreadsheets/d/11923uPwbBZFjjGgGUA6NLw09EwE0CqkOc4q9oUmW1yo/edit?usp=sharing"",""อุตรดิตถ์!J417"")"),0)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IFERROR(__xludf.DUMMYFUNCTION("IMPORTRANGE(""https://docs.google.com/spreadsheets/d/11923uPwbBZFjjGgGUA6NLw09EwE0CqkOc4q9oUmW1yo/edit?usp=sharing"",""อุตรดิตถ์!I418"")"),0)</f>
        <v>0</v>
      </c>
      <c r="J523" s="187">
        <f ca="1">IFERROR(__xludf.DUMMYFUNCTION("IMPORTRANGE(""https://docs.google.com/spreadsheets/d/11923uPwbBZFjjGgGUA6NLw09EwE0CqkOc4q9oUmW1yo/edit?usp=sharing"",""อุตรดิตถ์!J418"")"),0)</f>
        <v>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IFERROR(__xludf.DUMMYFUNCTION("IMPORTRANGE(""https://docs.google.com/spreadsheets/d/11923uPwbBZFjjGgGUA6NLw09EwE0CqkOc4q9oUmW1yo/edit?usp=sharing"",""อุตรดิตถ์!I419"")"),0)</f>
        <v>0</v>
      </c>
      <c r="J524" s="187">
        <f ca="1">IFERROR(__xludf.DUMMYFUNCTION("IMPORTRANGE(""https://docs.google.com/spreadsheets/d/11923uPwbBZFjjGgGUA6NLw09EwE0CqkOc4q9oUmW1yo/edit?usp=sharing"",""อุตรดิตถ์!J419"")"),0)</f>
        <v>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IFERROR(__xludf.DUMMYFUNCTION("IMPORTRANGE(""https://docs.google.com/spreadsheets/d/11923uPwbBZFjjGgGUA6NLw09EwE0CqkOc4q9oUmW1yo/edit?usp=sharing"",""อุตรดิตถ์!I420"")"),0)</f>
        <v>0</v>
      </c>
      <c r="J525" s="282">
        <f ca="1">IFERROR(__xludf.DUMMYFUNCTION("IMPORTRANGE(""https://docs.google.com/spreadsheets/d/11923uPwbBZFjjGgGUA6NLw09EwE0CqkOc4q9oUmW1yo/edit?usp=sharing"",""อุตรดิตถ์!J420"")"),0)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IFERROR(__xludf.DUMMYFUNCTION("IMPORTRANGE(""https://docs.google.com/spreadsheets/d/11923uPwbBZFjjGgGUA6NLw09EwE0CqkOc4q9oUmW1yo/edit?usp=sharing"",""อุตรดิตถ์!I421"")"),0)</f>
        <v>0</v>
      </c>
      <c r="J526" s="282">
        <f ca="1">IFERROR(__xludf.DUMMYFUNCTION("IMPORTRANGE(""https://docs.google.com/spreadsheets/d/11923uPwbBZFjjGgGUA6NLw09EwE0CqkOc4q9oUmW1yo/edit?usp=sharing"",""อุตรดิตถ์!J421"")"),0)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IFERROR(__xludf.DUMMYFUNCTION("IMPORTRANGE(""https://docs.google.com/spreadsheets/d/11923uPwbBZFjjGgGUA6NLw09EwE0CqkOc4q9oUmW1yo/edit?usp=sharing"",""อุตรดิตถ์!I422"")"),0)</f>
        <v>0</v>
      </c>
      <c r="J527" s="197">
        <f ca="1">IFERROR(__xludf.DUMMYFUNCTION("IMPORTRANGE(""https://docs.google.com/spreadsheets/d/11923uPwbBZFjjGgGUA6NLw09EwE0CqkOc4q9oUmW1yo/edit?usp=sharing"",""อุตรดิตถ์!J422"")"),0)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IFERROR(__xludf.DUMMYFUNCTION("IMPORTRANGE(""https://docs.google.com/spreadsheets/d/11923uPwbBZFjjGgGUA6NLw09EwE0CqkOc4q9oUmW1yo/edit?usp=sharing"",""อุตรดิตถ์!I423"")"),0)</f>
        <v>0</v>
      </c>
      <c r="J528" s="197">
        <f ca="1">IFERROR(__xludf.DUMMYFUNCTION("IMPORTRANGE(""https://docs.google.com/spreadsheets/d/11923uPwbBZFjjGgGUA6NLw09EwE0CqkOc4q9oUmW1yo/edit?usp=sharing"",""อุตรดิตถ์!J423"")"),0)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IFERROR(__xludf.DUMMYFUNCTION("IMPORTRANGE(""https://docs.google.com/spreadsheets/d/11923uPwbBZFjjGgGUA6NLw09EwE0CqkOc4q9oUmW1yo/edit?usp=sharing"",""อุตรดิตถ์!I424"")"),0)</f>
        <v>0</v>
      </c>
      <c r="J529" s="197">
        <f ca="1">IFERROR(__xludf.DUMMYFUNCTION("IMPORTRANGE(""https://docs.google.com/spreadsheets/d/11923uPwbBZFjjGgGUA6NLw09EwE0CqkOc4q9oUmW1yo/edit?usp=sharing"",""อุตรดิตถ์!J424"")"),0)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IFERROR(__xludf.DUMMYFUNCTION("IMPORTRANGE(""https://docs.google.com/spreadsheets/d/11923uPwbBZFjjGgGUA6NLw09EwE0CqkOc4q9oUmW1yo/edit?usp=sharing"",""อุตรดิตถ์!I425"")"),0)</f>
        <v>0</v>
      </c>
      <c r="J530" s="197">
        <f ca="1">IFERROR(__xludf.DUMMYFUNCTION("IMPORTRANGE(""https://docs.google.com/spreadsheets/d/11923uPwbBZFjjGgGUA6NLw09EwE0CqkOc4q9oUmW1yo/edit?usp=sharing"",""อุตรดิตถ์!J425"")"),0)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IFERROR(__xludf.DUMMYFUNCTION("IMPORTRANGE(""https://docs.google.com/spreadsheets/d/11923uPwbBZFjjGgGUA6NLw09EwE0CqkOc4q9oUmW1yo/edit?usp=sharing"",""อุตรดิตถ์!I426"")"),0)</f>
        <v>0</v>
      </c>
      <c r="J531" s="197">
        <f ca="1">IFERROR(__xludf.DUMMYFUNCTION("IMPORTRANGE(""https://docs.google.com/spreadsheets/d/11923uPwbBZFjjGgGUA6NLw09EwE0CqkOc4q9oUmW1yo/edit?usp=sharing"",""อุตรดิตถ์!J426"")"),0)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IFERROR(__xludf.DUMMYFUNCTION("IMPORTRANGE(""https://docs.google.com/spreadsheets/d/11923uPwbBZFjjGgGUA6NLw09EwE0CqkOc4q9oUmW1yo/edit?usp=sharing"",""อุตรดิตถ์!I427"")"),0)</f>
        <v>0</v>
      </c>
      <c r="J532" s="464">
        <f ca="1">IFERROR(__xludf.DUMMYFUNCTION("IMPORTRANGE(""https://docs.google.com/spreadsheets/d/11923uPwbBZFjjGgGUA6NLw09EwE0CqkOc4q9oUmW1yo/edit?usp=sharing"",""อุตรดิตถ์!J427"")"),0)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IFERROR(__xludf.DUMMYFUNCTION("IMPORTRANGE(""https://docs.google.com/spreadsheets/d/11923uPwbBZFjjGgGUA6NLw09EwE0CqkOc4q9oUmW1yo/edit?usp=sharing"",""อุตรดิตถ์!I428"")"),22)</f>
        <v>22</v>
      </c>
      <c r="J533" s="408">
        <f ca="1">IFERROR(__xludf.DUMMYFUNCTION("IMPORTRANGE(""https://docs.google.com/spreadsheets/d/11923uPwbBZFjjGgGUA6NLw09EwE0CqkOc4q9oUmW1yo/edit?usp=sharing"",""อุตรดิตถ์!J428"")"),22)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IFERROR(__xludf.DUMMYFUNCTION("IMPORTRANGE(""https://docs.google.com/spreadsheets/d/11923uPwbBZFjjGgGUA6NLw09EwE0CqkOc4q9oUmW1yo/edit?usp=sharing"",""อุตรดิตถ์!L428"")"),34340)</f>
        <v>34340</v>
      </c>
      <c r="M533" s="410"/>
      <c r="N533" s="410">
        <f ca="1">IFERROR(__xludf.DUMMYFUNCTION("IMPORTRANGE(""https://docs.google.com/spreadsheets/d/11923uPwbBZFjjGgGUA6NLw09EwE0CqkOc4q9oUmW1yo/edit?usp=sharing"",""อุตรดิตถ์!M428"")"),23281)</f>
        <v>23281</v>
      </c>
      <c r="O533" s="410">
        <f t="shared" ref="O533:O537" ca="1" si="118">+IF(L533&gt;0,N533*100/L533,0)</f>
        <v>67.795573675014566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IFERROR(__xludf.DUMMYFUNCTION("IMPORTRANGE(""https://docs.google.com/spreadsheets/d/11923uPwbBZFjjGgGUA6NLw09EwE0CqkOc4q9oUmW1yo/edit?usp=sharing"",""อุตรดิตถ์!L429"")"),0)</f>
        <v>0</v>
      </c>
      <c r="M534" s="164"/>
      <c r="N534" s="168">
        <f ca="1">IFERROR(__xludf.DUMMYFUNCTION("IMPORTRANGE(""https://docs.google.com/spreadsheets/d/11923uPwbBZFjjGgGUA6NLw09EwE0CqkOc4q9oUmW1yo/edit?usp=sharing"",""อุตรดิตถ์!M429"")"),0)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IFERROR(__xludf.DUMMYFUNCTION("IMPORTRANGE(""https://docs.google.com/spreadsheets/d/11923uPwbBZFjjGgGUA6NLw09EwE0CqkOc4q9oUmW1yo/edit?usp=sharing"",""อุตรดิตถ์!L430"")"),34340)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IFERROR(__xludf.DUMMYFUNCTION("IMPORTRANGE(""https://docs.google.com/spreadsheets/d/11923uPwbBZFjjGgGUA6NLw09EwE0CqkOc4q9oUmW1yo/edit?usp=sharing"",""อุตรดิตถ์!M430"")"),23281)</f>
        <v>23281</v>
      </c>
      <c r="O535" s="168">
        <f t="shared" ca="1" si="118"/>
        <v>67.795573675014566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IFERROR(__xludf.DUMMYFUNCTION("IMPORTRANGE(""https://docs.google.com/spreadsheets/d/11923uPwbBZFjjGgGUA6NLw09EwE0CqkOc4q9oUmW1yo/edit?usp=sharing"",""อุตรดิตถ์!L431"")"),0)</f>
        <v>0</v>
      </c>
      <c r="M536" s="168"/>
      <c r="N536" s="168">
        <f ca="1">IFERROR(__xludf.DUMMYFUNCTION("IMPORTRANGE(""https://docs.google.com/spreadsheets/d/11923uPwbBZFjjGgGUA6NLw09EwE0CqkOc4q9oUmW1yo/edit?usp=sharing"",""อุตรดิตถ์!M431"")"),0)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IFERROR(__xludf.DUMMYFUNCTION("IMPORTRANGE(""https://docs.google.com/spreadsheets/d/11923uPwbBZFjjGgGUA6NLw09EwE0CqkOc4q9oUmW1yo/edit?usp=sharing"",""อุตรดิตถ์!L432"")"),34340)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IFERROR(__xludf.DUMMYFUNCTION("IMPORTRANGE(""https://docs.google.com/spreadsheets/d/11923uPwbBZFjjGgGUA6NLw09EwE0CqkOc4q9oUmW1yo/edit?usp=sharing"",""อุตรดิตถ์!M432"")"),23281)</f>
        <v>23281</v>
      </c>
      <c r="O537" s="168">
        <f t="shared" ca="1" si="118"/>
        <v>67.795573675014566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IFERROR(__xludf.DUMMYFUNCTION("IMPORTRANGE(""https://docs.google.com/spreadsheets/d/11923uPwbBZFjjGgGUA6NLw09EwE0CqkOc4q9oUmW1yo/edit?usp=sharing"",""อุตรดิตถ์!M433"")"),18740)</f>
        <v>18740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IFERROR(__xludf.DUMMYFUNCTION("IMPORTRANGE(""https://docs.google.com/spreadsheets/d/11923uPwbBZFjjGgGUA6NLw09EwE0CqkOc4q9oUmW1yo/edit?usp=sharing"",""อุตรดิตถ์!M434"")"),0)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IFERROR(__xludf.DUMMYFUNCTION("IMPORTRANGE(""https://docs.google.com/spreadsheets/d/11923uPwbBZFjjGgGUA6NLw09EwE0CqkOc4q9oUmW1yo/edit?usp=sharing"",""อุตรดิตถ์!M435"")"),0)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IFERROR(__xludf.DUMMYFUNCTION("IMPORTRANGE(""https://docs.google.com/spreadsheets/d/11923uPwbBZFjjGgGUA6NLw09EwE0CqkOc4q9oUmW1yo/edit?usp=sharing"",""อุตรดิตถ์!M436"")"),4541)</f>
        <v>4541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IFERROR(__xludf.DUMMYFUNCTION("IMPORTRANGE(""https://docs.google.com/spreadsheets/d/11923uPwbBZFjjGgGUA6NLw09EwE0CqkOc4q9oUmW1yo/edit?usp=sharing"",""อุตรดิตถ์!J438"")"),0)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IFERROR(__xludf.DUMMYFUNCTION("IMPORTRANGE(""https://docs.google.com/spreadsheets/d/11923uPwbBZFjjGgGUA6NLw09EwE0CqkOc4q9oUmW1yo/edit?usp=sharing"",""อุตรดิตถ์!J439"")"),1)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IFERROR(__xludf.DUMMYFUNCTION("IMPORTRANGE(""https://docs.google.com/spreadsheets/d/11923uPwbBZFjjGgGUA6NLw09EwE0CqkOc4q9oUmW1yo/edit?usp=sharing"",""อุตรดิตถ์!J440"")"),1)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IFERROR(__xludf.DUMMYFUNCTION("IMPORTRANGE(""https://docs.google.com/spreadsheets/d/11923uPwbBZFjjGgGUA6NLw09EwE0CqkOc4q9oUmW1yo/edit?usp=sharing"",""อุตรดิตถ์!J441"")"),1)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IFERROR(__xludf.DUMMYFUNCTION("IMPORTRANGE(""https://docs.google.com/spreadsheets/d/11923uPwbBZFjjGgGUA6NLw09EwE0CqkOc4q9oUmW1yo/edit?usp=sharing"",""อุตรดิตถ์!I442"")"),22)</f>
        <v>22</v>
      </c>
      <c r="J547" s="188">
        <f ca="1">IFERROR(__xludf.DUMMYFUNCTION("IMPORTRANGE(""https://docs.google.com/spreadsheets/d/11923uPwbBZFjjGgGUA6NLw09EwE0CqkOc4q9oUmW1yo/edit?usp=sharing"",""อุตรดิตถ์!J442"")"),22)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IFERROR(__xludf.DUMMYFUNCTION("IMPORTRANGE(""https://docs.google.com/spreadsheets/d/11923uPwbBZFjjGgGUA6NLw09EwE0CqkOc4q9oUmW1yo/edit?usp=sharing"",""อุตรดิตถ์!J166"")"),0)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IFERROR(__xludf.DUMMYFUNCTION("IMPORTRANGE(""https://docs.google.com/spreadsheets/d/11923uPwbBZFjjGgGUA6NLw09EwE0CqkOc4q9oUmW1yo/edit?usp=sharing"",""อุตรดิตถ์!J444"")"),0)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IFERROR(__xludf.DUMMYFUNCTION("IMPORTRANGE(""https://docs.google.com/spreadsheets/d/11923uPwbBZFjjGgGUA6NLw09EwE0CqkOc4q9oUmW1yo/edit?usp=sharing"",""อุตรดิตถ์!J445"")"),0)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IFERROR(__xludf.DUMMYFUNCTION("IMPORTRANGE(""https://docs.google.com/spreadsheets/d/11923uPwbBZFjjGgGUA6NLw09EwE0CqkOc4q9oUmW1yo/edit?usp=sharing"",""อุตรดิตถ์!I446"")"),5000)</f>
        <v>5000</v>
      </c>
      <c r="J551" s="408">
        <f ca="1">IFERROR(__xludf.DUMMYFUNCTION("IMPORTRANGE(""https://docs.google.com/spreadsheets/d/11923uPwbBZFjjGgGUA6NLw09EwE0CqkOc4q9oUmW1yo/edit?usp=sharing"",""อุตรดิตถ์!J446"")"),2139)</f>
        <v>2139</v>
      </c>
      <c r="K551" s="409">
        <f ca="1">IF(I551&gt;0,J551*100/I551,0)</f>
        <v>42.78</v>
      </c>
      <c r="L551" s="410">
        <f ca="1">IFERROR(__xludf.DUMMYFUNCTION("IMPORTRANGE(""https://docs.google.com/spreadsheets/d/11923uPwbBZFjjGgGUA6NLw09EwE0CqkOc4q9oUmW1yo/edit?usp=sharing"",""อุตรดิตถ์!L446"")"),300000)</f>
        <v>300000</v>
      </c>
      <c r="M551" s="410"/>
      <c r="N551" s="410">
        <f ca="1">IFERROR(__xludf.DUMMYFUNCTION("IMPORTRANGE(""https://docs.google.com/spreadsheets/d/11923uPwbBZFjjGgGUA6NLw09EwE0CqkOc4q9oUmW1yo/edit?usp=sharing"",""อุตรดิตถ์!M446"")"),82251)</f>
        <v>82251</v>
      </c>
      <c r="O551" s="410">
        <f t="shared" ref="O551:O555" ca="1" si="120">+IF(L551&gt;0,N551*100/L551,0)</f>
        <v>27.417000000000002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IFERROR(__xludf.DUMMYFUNCTION("IMPORTRANGE(""https://docs.google.com/spreadsheets/d/11923uPwbBZFjjGgGUA6NLw09EwE0CqkOc4q9oUmW1yo/edit?usp=sharing"",""อุตรดิตถ์!L447"")"),0)</f>
        <v>0</v>
      </c>
      <c r="M552" s="164"/>
      <c r="N552" s="168">
        <f ca="1">IFERROR(__xludf.DUMMYFUNCTION("IMPORTRANGE(""https://docs.google.com/spreadsheets/d/11923uPwbBZFjjGgGUA6NLw09EwE0CqkOc4q9oUmW1yo/edit?usp=sharing"",""อุตรดิตถ์!M447"")"),0)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IFERROR(__xludf.DUMMYFUNCTION("IMPORTRANGE(""https://docs.google.com/spreadsheets/d/11923uPwbBZFjjGgGUA6NLw09EwE0CqkOc4q9oUmW1yo/edit?usp=sharing"",""อุตรดิตถ์!L448"")"),300000)</f>
        <v>300000</v>
      </c>
      <c r="M553" s="165"/>
      <c r="N553" s="168">
        <f ca="1">IFERROR(__xludf.DUMMYFUNCTION("IMPORTRANGE(""https://docs.google.com/spreadsheets/d/11923uPwbBZFjjGgGUA6NLw09EwE0CqkOc4q9oUmW1yo/edit?usp=sharing"",""อุตรดิตถ์!M448"")"),82251)</f>
        <v>82251</v>
      </c>
      <c r="O553" s="168">
        <f t="shared" ca="1" si="120"/>
        <v>27.417000000000002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IFERROR(__xludf.DUMMYFUNCTION("IMPORTRANGE(""https://docs.google.com/spreadsheets/d/11923uPwbBZFjjGgGUA6NLw09EwE0CqkOc4q9oUmW1yo/edit?usp=sharing"",""อุตรดิตถ์!L449"")"),0)</f>
        <v>0</v>
      </c>
      <c r="M554" s="168"/>
      <c r="N554" s="168">
        <f ca="1">IFERROR(__xludf.DUMMYFUNCTION("IMPORTRANGE(""https://docs.google.com/spreadsheets/d/11923uPwbBZFjjGgGUA6NLw09EwE0CqkOc4q9oUmW1yo/edit?usp=sharing"",""อุตรดิตถ์!M449"")"),0)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IFERROR(__xludf.DUMMYFUNCTION("IMPORTRANGE(""https://docs.google.com/spreadsheets/d/11923uPwbBZFjjGgGUA6NLw09EwE0CqkOc4q9oUmW1yo/edit?usp=sharing"",""อุตรดิตถ์!L450"")"),300000)</f>
        <v>300000</v>
      </c>
      <c r="M555" s="168"/>
      <c r="N555" s="168">
        <f ca="1">IFERROR(__xludf.DUMMYFUNCTION("IMPORTRANGE(""https://docs.google.com/spreadsheets/d/11923uPwbBZFjjGgGUA6NLw09EwE0CqkOc4q9oUmW1yo/edit?usp=sharing"",""อุตรดิตถ์!M450"")"),82251)</f>
        <v>82251</v>
      </c>
      <c r="O555" s="168">
        <f t="shared" ca="1" si="120"/>
        <v>27.417000000000002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IFERROR(__xludf.DUMMYFUNCTION("IMPORTRANGE(""https://docs.google.com/spreadsheets/d/11923uPwbBZFjjGgGUA6NLw09EwE0CqkOc4q9oUmW1yo/edit?usp=sharing"",""อุตรดิตถ์!M451"")"),0)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IFERROR(__xludf.DUMMYFUNCTION("IMPORTRANGE(""https://docs.google.com/spreadsheets/d/11923uPwbBZFjjGgGUA6NLw09EwE0CqkOc4q9oUmW1yo/edit?usp=sharing"",""อุตรดิตถ์!M452"")"),0)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IFERROR(__xludf.DUMMYFUNCTION("IMPORTRANGE(""https://docs.google.com/spreadsheets/d/11923uPwbBZFjjGgGUA6NLw09EwE0CqkOc4q9oUmW1yo/edit?usp=sharing"",""อุตรดิตถ์!M453"")"),10800)</f>
        <v>10800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IFERROR(__xludf.DUMMYFUNCTION("IMPORTRANGE(""https://docs.google.com/spreadsheets/d/11923uPwbBZFjjGgGUA6NLw09EwE0CqkOc4q9oUmW1yo/edit?usp=sharing"",""อุตรดิตถ์!M454"")"),71451)</f>
        <v>71451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IFERROR(__xludf.DUMMYFUNCTION("IMPORTRANGE(""https://docs.google.com/spreadsheets/d/11923uPwbBZFjjGgGUA6NLw09EwE0CqkOc4q9oUmW1yo/edit?usp=sharing"",""อุตรดิตถ์!I455"")"),5000)</f>
        <v>5000</v>
      </c>
      <c r="J560" s="162">
        <f ca="1">IFERROR(__xludf.DUMMYFUNCTION("IMPORTRANGE(""https://docs.google.com/spreadsheets/d/11923uPwbBZFjjGgGUA6NLw09EwE0CqkOc4q9oUmW1yo/edit?usp=sharing"",""อุตรดิตถ์!J455"")"),2139)</f>
        <v>2139</v>
      </c>
      <c r="K560" s="223">
        <f t="shared" ref="K560:K564" ca="1" si="121">IF(I560&gt;0,J560*100/I560,0)</f>
        <v>42.78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IFERROR(__xludf.DUMMYFUNCTION("IMPORTRANGE(""https://docs.google.com/spreadsheets/d/11923uPwbBZFjjGgGUA6NLw09EwE0CqkOc4q9oUmW1yo/edit?usp=sharing"",""อุตรดิตถ์!I456"")"),0)</f>
        <v>0</v>
      </c>
      <c r="J561" s="203">
        <f ca="1">IFERROR(__xludf.DUMMYFUNCTION("IMPORTRANGE(""https://docs.google.com/spreadsheets/d/11923uPwbBZFjjGgGUA6NLw09EwE0CqkOc4q9oUmW1yo/edit?usp=sharing"",""อุตรดิตถ์!J456"")"),323)</f>
        <v>323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f ca="1">IFERROR(__xludf.DUMMYFUNCTION("IMPORTRANGE(""https://docs.google.com/spreadsheets/d/11923uPwbBZFjjGgGUA6NLw09EwE0CqkOc4q9oUmW1yo/edit?usp=sharing"",""อุตรดิตถ์!I457"")"),0)</f>
        <v>0</v>
      </c>
      <c r="J562" s="203" t="str">
        <f ca="1">IFERROR(__xludf.DUMMYFUNCTION("IMPORTRANGE(""https://docs.google.com/spreadsheets/d/11923uPwbBZFjjGgGUA6NLw09EwE0CqkOc4q9oUmW1yo/edit?usp=sharing"",""อุตรดิตถ์!J457"")"),"")</f>
        <v/>
      </c>
      <c r="K562" s="163">
        <f t="shared" ca="1" si="121"/>
        <v>0</v>
      </c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f ca="1">IFERROR(__xludf.DUMMYFUNCTION("IMPORTRANGE(""https://docs.google.com/spreadsheets/d/11923uPwbBZFjjGgGUA6NLw09EwE0CqkOc4q9oUmW1yo/edit?usp=sharing"",""อุตรดิตถ์!I458"")"),0)</f>
        <v>0</v>
      </c>
      <c r="J563" s="187" t="str">
        <f ca="1">IFERROR(__xludf.DUMMYFUNCTION("IMPORTRANGE(""https://docs.google.com/spreadsheets/d/11923uPwbBZFjjGgGUA6NLw09EwE0CqkOc4q9oUmW1yo/edit?usp=sharing"",""อุตรดิตถ์!J458"")"),"")</f>
        <v/>
      </c>
      <c r="K563" s="163">
        <f t="shared" ca="1" si="121"/>
        <v>0</v>
      </c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IFERROR(__xludf.DUMMYFUNCTION("IMPORTRANGE(""https://docs.google.com/spreadsheets/d/11923uPwbBZFjjGgGUA6NLw09EwE0CqkOc4q9oUmW1yo/edit?usp=sharing"",""อุตรดิตถ์!I459"")"),1100)</f>
        <v>1100</v>
      </c>
      <c r="J564" s="369">
        <f ca="1">IFERROR(__xludf.DUMMYFUNCTION("IMPORTRANGE(""https://docs.google.com/spreadsheets/d/11923uPwbBZFjjGgGUA6NLw09EwE0CqkOc4q9oUmW1yo/edit?usp=sharing"",""อุตรดิตถ์!J459"")"),1509)</f>
        <v>1509</v>
      </c>
      <c r="K564" s="370">
        <f t="shared" ca="1" si="121"/>
        <v>137.18181818181819</v>
      </c>
      <c r="L564" s="371">
        <f ca="1">IFERROR(__xludf.DUMMYFUNCTION("IMPORTRANGE(""https://docs.google.com/spreadsheets/d/11923uPwbBZFjjGgGUA6NLw09EwE0CqkOc4q9oUmW1yo/edit?usp=sharing"",""อุตรดิตถ์!L459"")"),127280)</f>
        <v>127280</v>
      </c>
      <c r="M564" s="371"/>
      <c r="N564" s="371">
        <f ca="1">IFERROR(__xludf.DUMMYFUNCTION("IMPORTRANGE(""https://docs.google.com/spreadsheets/d/11923uPwbBZFjjGgGUA6NLw09EwE0CqkOc4q9oUmW1yo/edit?usp=sharing"",""อุตรดิตถ์!M459"")"),33858)</f>
        <v>33858</v>
      </c>
      <c r="O564" s="371">
        <f t="shared" ref="O564:O568" ca="1" si="122">+IF(L564&gt;0,N564*100/L564,0)</f>
        <v>26.601194217473289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IFERROR(__xludf.DUMMYFUNCTION("IMPORTRANGE(""https://docs.google.com/spreadsheets/d/11923uPwbBZFjjGgGUA6NLw09EwE0CqkOc4q9oUmW1yo/edit?usp=sharing"",""อุตรดิตถ์!L460"")"),0)</f>
        <v>0</v>
      </c>
      <c r="M565" s="164"/>
      <c r="N565" s="168">
        <f ca="1">IFERROR(__xludf.DUMMYFUNCTION("IMPORTRANGE(""https://docs.google.com/spreadsheets/d/11923uPwbBZFjjGgGUA6NLw09EwE0CqkOc4q9oUmW1yo/edit?usp=sharing"",""อุตรดิตถ์!M460"")"),0)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IFERROR(__xludf.DUMMYFUNCTION("IMPORTRANGE(""https://docs.google.com/spreadsheets/d/11923uPwbBZFjjGgGUA6NLw09EwE0CqkOc4q9oUmW1yo/edit?usp=sharing"",""อุตรดิตถ์!L461"")"),127280)</f>
        <v>127280</v>
      </c>
      <c r="M566" s="165"/>
      <c r="N566" s="168">
        <f ca="1">IFERROR(__xludf.DUMMYFUNCTION("IMPORTRANGE(""https://docs.google.com/spreadsheets/d/11923uPwbBZFjjGgGUA6NLw09EwE0CqkOc4q9oUmW1yo/edit?usp=sharing"",""อุตรดิตถ์!M461"")"),33858)</f>
        <v>33858</v>
      </c>
      <c r="O566" s="168">
        <f t="shared" ca="1" si="122"/>
        <v>26.601194217473289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IFERROR(__xludf.DUMMYFUNCTION("IMPORTRANGE(""https://docs.google.com/spreadsheets/d/11923uPwbBZFjjGgGUA6NLw09EwE0CqkOc4q9oUmW1yo/edit?usp=sharing"",""อุตรดิตถ์!L462"")"),0)</f>
        <v>0</v>
      </c>
      <c r="M567" s="168"/>
      <c r="N567" s="168">
        <f ca="1">IFERROR(__xludf.DUMMYFUNCTION("IMPORTRANGE(""https://docs.google.com/spreadsheets/d/11923uPwbBZFjjGgGUA6NLw09EwE0CqkOc4q9oUmW1yo/edit?usp=sharing"",""อุตรดิตถ์!M462"")"),0)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IFERROR(__xludf.DUMMYFUNCTION("IMPORTRANGE(""https://docs.google.com/spreadsheets/d/11923uPwbBZFjjGgGUA6NLw09EwE0CqkOc4q9oUmW1yo/edit?usp=sharing"",""อุตรดิตถ์!L463"")"),127280)</f>
        <v>127280</v>
      </c>
      <c r="M568" s="168"/>
      <c r="N568" s="168">
        <f ca="1">IFERROR(__xludf.DUMMYFUNCTION("IMPORTRANGE(""https://docs.google.com/spreadsheets/d/11923uPwbBZFjjGgGUA6NLw09EwE0CqkOc4q9oUmW1yo/edit?usp=sharing"",""อุตรดิตถ์!M463"")"),33858)</f>
        <v>33858</v>
      </c>
      <c r="O568" s="168">
        <f t="shared" ca="1" si="122"/>
        <v>26.601194217473289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IFERROR(__xludf.DUMMYFUNCTION("IMPORTRANGE(""https://docs.google.com/spreadsheets/d/11923uPwbBZFjjGgGUA6NLw09EwE0CqkOc4q9oUmW1yo/edit?usp=sharing"",""อุตรดิตถ์!M464"")"),0)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IFERROR(__xludf.DUMMYFUNCTION("IMPORTRANGE(""https://docs.google.com/spreadsheets/d/11923uPwbBZFjjGgGUA6NLw09EwE0CqkOc4q9oUmW1yo/edit?usp=sharing"",""อุตรดิตถ์!M465"")"),0)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IFERROR(__xludf.DUMMYFUNCTION("IMPORTRANGE(""https://docs.google.com/spreadsheets/d/11923uPwbBZFjjGgGUA6NLw09EwE0CqkOc4q9oUmW1yo/edit?usp=sharing"",""อุตรดิตถ์!M466"")"),31568)</f>
        <v>31568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IFERROR(__xludf.DUMMYFUNCTION("IMPORTRANGE(""https://docs.google.com/spreadsheets/d/11923uPwbBZFjjGgGUA6NLw09EwE0CqkOc4q9oUmW1yo/edit?usp=sharing"",""อุตรดิตถ์!M467"")"),2290)</f>
        <v>2290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IFERROR(__xludf.DUMMYFUNCTION("IMPORTRANGE(""https://docs.google.com/spreadsheets/d/11923uPwbBZFjjGgGUA6NLw09EwE0CqkOc4q9oUmW1yo/edit?usp=sharing"",""อุตรดิตถ์!I468"")"),1100)</f>
        <v>1100</v>
      </c>
      <c r="J573" s="418">
        <f ca="1">IFERROR(__xludf.DUMMYFUNCTION("IMPORTRANGE(""https://docs.google.com/spreadsheets/d/11923uPwbBZFjjGgGUA6NLw09EwE0CqkOc4q9oUmW1yo/edit?usp=sharing"",""อุตรดิตถ์!J468"")"),1509)</f>
        <v>1509</v>
      </c>
      <c r="K573" s="201">
        <f ca="1">IF(I573&gt;0,J573*100/I573,0)</f>
        <v>137.18181818181819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IFERROR(__xludf.DUMMYFUNCTION("IMPORTRANGE(""https://docs.google.com/spreadsheets/d/11923uPwbBZFjjGgGUA6NLw09EwE0CqkOc4q9oUmW1yo/edit?usp=sharing"",""อุตรดิตถ์!I470"")"),0)</f>
        <v>0</v>
      </c>
      <c r="J575" s="197">
        <f ca="1">IFERROR(__xludf.DUMMYFUNCTION("IMPORTRANGE(""https://docs.google.com/spreadsheets/d/11923uPwbBZFjjGgGUA6NLw09EwE0CqkOc4q9oUmW1yo/edit?usp=sharing"",""อุตรดิตถ์!J470"")"),3)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IFERROR(__xludf.DUMMYFUNCTION("IMPORTRANGE(""https://docs.google.com/spreadsheets/d/11923uPwbBZFjjGgGUA6NLw09EwE0CqkOc4q9oUmW1yo/edit?usp=sharing"",""อุตรดิตถ์!I471"")"),0)</f>
        <v>0</v>
      </c>
      <c r="J576" s="197">
        <f ca="1">IFERROR(__xludf.DUMMYFUNCTION("IMPORTRANGE(""https://docs.google.com/spreadsheets/d/11923uPwbBZFjjGgGUA6NLw09EwE0CqkOc4q9oUmW1yo/edit?usp=sharing"",""อุตรดิตถ์!J471"")"),170)</f>
        <v>170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IFERROR(__xludf.DUMMYFUNCTION("IMPORTRANGE(""https://docs.google.com/spreadsheets/d/11923uPwbBZFjjGgGUA6NLw09EwE0CqkOc4q9oUmW1yo/edit?usp=sharing"",""อุตรดิตถ์!I472"")"),0)</f>
        <v>0</v>
      </c>
      <c r="J577" s="188">
        <f ca="1">IFERROR(__xludf.DUMMYFUNCTION("IMPORTRANGE(""https://docs.google.com/spreadsheets/d/11923uPwbBZFjjGgGUA6NLw09EwE0CqkOc4q9oUmW1yo/edit?usp=sharing"",""อุตรดิตถ์!J472"")"),898)</f>
        <v>898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IFERROR(__xludf.DUMMYFUNCTION("IMPORTRANGE(""https://docs.google.com/spreadsheets/d/11923uPwbBZFjjGgGUA6NLw09EwE0CqkOc4q9oUmW1yo/edit?usp=sharing"",""อุตรดิตถ์!I473"")"),0)</f>
        <v>0</v>
      </c>
      <c r="J578" s="197">
        <f ca="1">IFERROR(__xludf.DUMMYFUNCTION("IMPORTRANGE(""https://docs.google.com/spreadsheets/d/11923uPwbBZFjjGgGUA6NLw09EwE0CqkOc4q9oUmW1yo/edit?usp=sharing"",""อุตรดิตถ์!J473"")"),0)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IFERROR(__xludf.DUMMYFUNCTION("IMPORTRANGE(""https://docs.google.com/spreadsheets/d/11923uPwbBZFjjGgGUA6NLw09EwE0CqkOc4q9oUmW1yo/edit?usp=sharing"",""อุตรดิตถ์!I474"")"),0)</f>
        <v>0</v>
      </c>
      <c r="J579" s="197">
        <f ca="1">IFERROR(__xludf.DUMMYFUNCTION("IMPORTRANGE(""https://docs.google.com/spreadsheets/d/11923uPwbBZFjjGgGUA6NLw09EwE0CqkOc4q9oUmW1yo/edit?usp=sharing"",""อุตรดิตถ์!J474"")"),441)</f>
        <v>441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IFERROR(__xludf.DUMMYFUNCTION("IMPORTRANGE(""https://docs.google.com/spreadsheets/d/11923uPwbBZFjjGgGUA6NLw09EwE0CqkOc4q9oUmW1yo/edit?usp=sharing"",""อุตรดิตถ์!I475"")"),0)</f>
        <v>0</v>
      </c>
      <c r="J580" s="369">
        <f ca="1">IFERROR(__xludf.DUMMYFUNCTION("IMPORTRANGE(""https://docs.google.com/spreadsheets/d/11923uPwbBZFjjGgGUA6NLw09EwE0CqkOc4q9oUmW1yo/edit?usp=sharing"",""อุตรดิตถ์!J475"")"),0)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IFERROR(__xludf.DUMMYFUNCTION("IMPORTRANGE(""https://docs.google.com/spreadsheets/d/11923uPwbBZFjjGgGUA6NLw09EwE0CqkOc4q9oUmW1yo/edit?usp=sharing"",""อุตรดิตถ์!L475"")"),0)</f>
        <v>0</v>
      </c>
      <c r="M580" s="371"/>
      <c r="N580" s="371">
        <f ca="1">IFERROR(__xludf.DUMMYFUNCTION("IMPORTRANGE(""https://docs.google.com/spreadsheets/d/11923uPwbBZFjjGgGUA6NLw09EwE0CqkOc4q9oUmW1yo/edit?usp=sharing"",""อุตรดิตถ์!M475"")"),0)</f>
        <v>0</v>
      </c>
      <c r="O580" s="371">
        <f t="shared" ref="O580:O584" ca="1" si="124">+IF(L580&gt;0,N580*100/L580,0)</f>
        <v>0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IFERROR(__xludf.DUMMYFUNCTION("IMPORTRANGE(""https://docs.google.com/spreadsheets/d/11923uPwbBZFjjGgGUA6NLw09EwE0CqkOc4q9oUmW1yo/edit?usp=sharing"",""อุตรดิตถ์!L476"")"),0)</f>
        <v>0</v>
      </c>
      <c r="M581" s="164"/>
      <c r="N581" s="168">
        <f ca="1">IFERROR(__xludf.DUMMYFUNCTION("IMPORTRANGE(""https://docs.google.com/spreadsheets/d/11923uPwbBZFjjGgGUA6NLw09EwE0CqkOc4q9oUmW1yo/edit?usp=sharing"",""อุตรดิตถ์!M476"")"),0)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IFERROR(__xludf.DUMMYFUNCTION("IMPORTRANGE(""https://docs.google.com/spreadsheets/d/11923uPwbBZFjjGgGUA6NLw09EwE0CqkOc4q9oUmW1yo/edit?usp=sharing"",""อุตรดิตถ์!L477"")"),0)</f>
        <v>0</v>
      </c>
      <c r="M582" s="165"/>
      <c r="N582" s="168">
        <f ca="1">IFERROR(__xludf.DUMMYFUNCTION("IMPORTRANGE(""https://docs.google.com/spreadsheets/d/11923uPwbBZFjjGgGUA6NLw09EwE0CqkOc4q9oUmW1yo/edit?usp=sharing"",""อุตรดิตถ์!M477"")"),0)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IFERROR(__xludf.DUMMYFUNCTION("IMPORTRANGE(""https://docs.google.com/spreadsheets/d/11923uPwbBZFjjGgGUA6NLw09EwE0CqkOc4q9oUmW1yo/edit?usp=sharing"",""อุตรดิตถ์!L478"")"),0)</f>
        <v>0</v>
      </c>
      <c r="M583" s="168"/>
      <c r="N583" s="168">
        <f ca="1">IFERROR(__xludf.DUMMYFUNCTION("IMPORTRANGE(""https://docs.google.com/spreadsheets/d/11923uPwbBZFjjGgGUA6NLw09EwE0CqkOc4q9oUmW1yo/edit?usp=sharing"",""อุตรดิตถ์!M478"")"),0)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IFERROR(__xludf.DUMMYFUNCTION("IMPORTRANGE(""https://docs.google.com/spreadsheets/d/11923uPwbBZFjjGgGUA6NLw09EwE0CqkOc4q9oUmW1yo/edit?usp=sharing"",""อุตรดิตถ์!L479"")"),0)</f>
        <v>0</v>
      </c>
      <c r="M584" s="168"/>
      <c r="N584" s="168">
        <f ca="1">IFERROR(__xludf.DUMMYFUNCTION("IMPORTRANGE(""https://docs.google.com/spreadsheets/d/11923uPwbBZFjjGgGUA6NLw09EwE0CqkOc4q9oUmW1yo/edit?usp=sharing"",""อุตรดิตถ์!M479"")"),0)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IFERROR(__xludf.DUMMYFUNCTION("IMPORTRANGE(""https://docs.google.com/spreadsheets/d/11923uPwbBZFjjGgGUA6NLw09EwE0CqkOc4q9oUmW1yo/edit?usp=sharing"",""อุตรดิตถ์!M480"")"),0)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IFERROR(__xludf.DUMMYFUNCTION("IMPORTRANGE(""https://docs.google.com/spreadsheets/d/11923uPwbBZFjjGgGUA6NLw09EwE0CqkOc4q9oUmW1yo/edit?usp=sharing"",""อุตรดิตถ์!M481"")"),0)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IFERROR(__xludf.DUMMYFUNCTION("IMPORTRANGE(""https://docs.google.com/spreadsheets/d/11923uPwbBZFjjGgGUA6NLw09EwE0CqkOc4q9oUmW1yo/edit?usp=sharing"",""อุตรดิตถ์!M482"")"),0)</f>
        <v>0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IFERROR(__xludf.DUMMYFUNCTION("IMPORTRANGE(""https://docs.google.com/spreadsheets/d/11923uPwbBZFjjGgGUA6NLw09EwE0CqkOc4q9oUmW1yo/edit?usp=sharing"",""อุตรดิตถ์!M483"")"),0)</f>
        <v>0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IFERROR(__xludf.DUMMYFUNCTION("IMPORTRANGE(""https://docs.google.com/spreadsheets/d/11923uPwbBZFjjGgGUA6NLw09EwE0CqkOc4q9oUmW1yo/edit?usp=sharing"",""อุตรดิตถ์!I484"")"),0)</f>
        <v>0</v>
      </c>
      <c r="J589" s="187">
        <f ca="1">IFERROR(__xludf.DUMMYFUNCTION("IMPORTRANGE(""https://docs.google.com/spreadsheets/d/11923uPwbBZFjjGgGUA6NLw09EwE0CqkOc4q9oUmW1yo/edit?usp=sharing"",""อุตรดิตถ์!J484"")"),2)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IFERROR(__xludf.DUMMYFUNCTION("IMPORTRANGE(""https://docs.google.com/spreadsheets/d/11923uPwbBZFjjGgGUA6NLw09EwE0CqkOc4q9oUmW1yo/edit?usp=sharing"",""อุตรดิตถ์!I485"")"),0)</f>
        <v>0</v>
      </c>
      <c r="J590" s="187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IFERROR(__xludf.DUMMYFUNCTION("IMPORTRANGE(""https://docs.google.com/spreadsheets/d/11923uPwbBZFjjGgGUA6NLw09EwE0CqkOc4q9oUmW1yo/edit?usp=sharing"",""อุตรดิตถ์!I486"")"),0)</f>
        <v>0</v>
      </c>
      <c r="J591" s="187">
        <f ca="1">IFERROR(__xludf.DUMMYFUNCTION("IMPORTRANGE(""https://docs.google.com/spreadsheets/d/11923uPwbBZFjjGgGUA6NLw09EwE0CqkOc4q9oUmW1yo/edit?usp=sharing"",""อุตรดิตถ์!J486"")"),2)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IFERROR(__xludf.DUMMYFUNCTION("IMPORTRANGE(""https://docs.google.com/spreadsheets/d/11923uPwbBZFjjGgGUA6NLw09EwE0CqkOc4q9oUmW1yo/edit?usp=sharing"",""อุตรดิตถ์!I487"")"),0)</f>
        <v>0</v>
      </c>
      <c r="J592" s="187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IFERROR(__xludf.DUMMYFUNCTION("IMPORTRANGE(""https://docs.google.com/spreadsheets/d/11923uPwbBZFjjGgGUA6NLw09EwE0CqkOc4q9oUmW1yo/edit?usp=sharing"",""อุตรดิตถ์!I488"")"),0)</f>
        <v>0</v>
      </c>
      <c r="J593" s="187">
        <f ca="1">IFERROR(__xludf.DUMMYFUNCTION("IMPORTRANGE(""https://docs.google.com/spreadsheets/d/11923uPwbBZFjjGgGUA6NLw09EwE0CqkOc4q9oUmW1yo/edit?usp=sharing"",""อุตรดิตถ์!J488"")"),0)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IFERROR(__xludf.DUMMYFUNCTION("IMPORTRANGE(""https://docs.google.com/spreadsheets/d/11923uPwbBZFjjGgGUA6NLw09EwE0CqkOc4q9oUmW1yo/edit?usp=sharing"",""อุตรดิตถ์!I489"")"),0)</f>
        <v>0</v>
      </c>
      <c r="J594" s="187">
        <f ca="1">IFERROR(__xludf.DUMMYFUNCTION("IMPORTRANGE(""https://docs.google.com/spreadsheets/d/11923uPwbBZFjjGgGUA6NLw09EwE0CqkOc4q9oUmW1yo/edit?usp=sharing"",""อุตรดิตถ์!J489"")"),0)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IFERROR(__xludf.DUMMYFUNCTION("IMPORTRANGE(""https://docs.google.com/spreadsheets/d/11923uPwbBZFjjGgGUA6NLw09EwE0CqkOc4q9oUmW1yo/edit?usp=sharing"",""อุตรดิตถ์!I490"")"),0)</f>
        <v>0</v>
      </c>
      <c r="J595" s="187">
        <f ca="1">IFERROR(__xludf.DUMMYFUNCTION("IMPORTRANGE(""https://docs.google.com/spreadsheets/d/11923uPwbBZFjjGgGUA6NLw09EwE0CqkOc4q9oUmW1yo/edit?usp=sharing"",""อุตรดิตถ์!J490"")"),0)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IFERROR(__xludf.DUMMYFUNCTION("IMPORTRANGE(""https://docs.google.com/spreadsheets/d/11923uPwbBZFjjGgGUA6NLw09EwE0CqkOc4q9oUmW1yo/edit?usp=sharing"",""อุตรดิตถ์!I491"")"),0)</f>
        <v>0</v>
      </c>
      <c r="J596" s="240">
        <f ca="1">IFERROR(__xludf.DUMMYFUNCTION("IMPORTRANGE(""https://docs.google.com/spreadsheets/d/11923uPwbBZFjjGgGUA6NLw09EwE0CqkOc4q9oUmW1yo/edit?usp=sharing"",""อุตรดิตถ์!J491"")"),0)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IFERROR(__xludf.DUMMYFUNCTION("IMPORTRANGE(""https://docs.google.com/spreadsheets/d/11923uPwbBZFjjGgGUA6NLw09EwE0CqkOc4q9oUmW1yo/edit?usp=sharing"",""อุตรดิตถ์!I492"")"),50)</f>
        <v>50</v>
      </c>
      <c r="J597" s="485">
        <f ca="1">IFERROR(__xludf.DUMMYFUNCTION("IMPORTRANGE(""https://docs.google.com/spreadsheets/d/11923uPwbBZFjjGgGUA6NLw09EwE0CqkOc4q9oUmW1yo/edit?usp=sharing"",""อุตรดิตถ์!J492"")"),0)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IFERROR(__xludf.DUMMYFUNCTION("IMPORTRANGE(""https://docs.google.com/spreadsheets/d/11923uPwbBZFjjGgGUA6NLw09EwE0CqkOc4q9oUmW1yo/edit?usp=sharing"",""อุตรดิตถ์!L492"")"),6150)</f>
        <v>6150</v>
      </c>
      <c r="M597" s="410"/>
      <c r="N597" s="410">
        <f ca="1">IFERROR(__xludf.DUMMYFUNCTION("IMPORTRANGE(""https://docs.google.com/spreadsheets/d/11923uPwbBZFjjGgGUA6NLw09EwE0CqkOc4q9oUmW1yo/edit?usp=sharing"",""อุตรดิตถ์!M492"")"),1600)</f>
        <v>1600</v>
      </c>
      <c r="O597" s="410">
        <f t="shared" ref="O597:O601" ca="1" si="126">+IF(L597&gt;0,N597*100/L597,0)</f>
        <v>26.016260162601625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IFERROR(__xludf.DUMMYFUNCTION("IMPORTRANGE(""https://docs.google.com/spreadsheets/d/11923uPwbBZFjjGgGUA6NLw09EwE0CqkOc4q9oUmW1yo/edit?usp=sharing"",""อุตรดิตถ์!L493"")"),0)</f>
        <v>0</v>
      </c>
      <c r="M598" s="164"/>
      <c r="N598" s="168">
        <f ca="1">IFERROR(__xludf.DUMMYFUNCTION("IMPORTRANGE(""https://docs.google.com/spreadsheets/d/11923uPwbBZFjjGgGUA6NLw09EwE0CqkOc4q9oUmW1yo/edit?usp=sharing"",""อุตรดิตถ์!M493"")"),0)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IFERROR(__xludf.DUMMYFUNCTION("IMPORTRANGE(""https://docs.google.com/spreadsheets/d/11923uPwbBZFjjGgGUA6NLw09EwE0CqkOc4q9oUmW1yo/edit?usp=sharing"",""อุตรดิตถ์!L494"")"),6150)</f>
        <v>6150</v>
      </c>
      <c r="M599" s="165"/>
      <c r="N599" s="168">
        <f ca="1">IFERROR(__xludf.DUMMYFUNCTION("IMPORTRANGE(""https://docs.google.com/spreadsheets/d/11923uPwbBZFjjGgGUA6NLw09EwE0CqkOc4q9oUmW1yo/edit?usp=sharing"",""อุตรดิตถ์!M494"")"),1600)</f>
        <v>1600</v>
      </c>
      <c r="O599" s="168">
        <f t="shared" ca="1" si="126"/>
        <v>26.016260162601625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IFERROR(__xludf.DUMMYFUNCTION("IMPORTRANGE(""https://docs.google.com/spreadsheets/d/11923uPwbBZFjjGgGUA6NLw09EwE0CqkOc4q9oUmW1yo/edit?usp=sharing"",""อุตรดิตถ์!L495"")"),0)</f>
        <v>0</v>
      </c>
      <c r="M600" s="168"/>
      <c r="N600" s="168">
        <f ca="1">IFERROR(__xludf.DUMMYFUNCTION("IMPORTRANGE(""https://docs.google.com/spreadsheets/d/11923uPwbBZFjjGgGUA6NLw09EwE0CqkOc4q9oUmW1yo/edit?usp=sharing"",""อุตรดิตถ์!M495"")"),0)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IFERROR(__xludf.DUMMYFUNCTION("IMPORTRANGE(""https://docs.google.com/spreadsheets/d/11923uPwbBZFjjGgGUA6NLw09EwE0CqkOc4q9oUmW1yo/edit?usp=sharing"",""อุตรดิตถ์!L496"")"),6150)</f>
        <v>6150</v>
      </c>
      <c r="M601" s="168"/>
      <c r="N601" s="168">
        <f ca="1">IFERROR(__xludf.DUMMYFUNCTION("IMPORTRANGE(""https://docs.google.com/spreadsheets/d/11923uPwbBZFjjGgGUA6NLw09EwE0CqkOc4q9oUmW1yo/edit?usp=sharing"",""อุตรดิตถ์!M496"")"),1600)</f>
        <v>1600</v>
      </c>
      <c r="O601" s="168">
        <f t="shared" ca="1" si="126"/>
        <v>26.016260162601625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IFERROR(__xludf.DUMMYFUNCTION("IMPORTRANGE(""https://docs.google.com/spreadsheets/d/11923uPwbBZFjjGgGUA6NLw09EwE0CqkOc4q9oUmW1yo/edit?usp=sharing"",""อุตรดิตถ์!M497"")"),0)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IFERROR(__xludf.DUMMYFUNCTION("IMPORTRANGE(""https://docs.google.com/spreadsheets/d/11923uPwbBZFjjGgGUA6NLw09EwE0CqkOc4q9oUmW1yo/edit?usp=sharing"",""อุตรดิตถ์!M498"")"),0)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IFERROR(__xludf.DUMMYFUNCTION("IMPORTRANGE(""https://docs.google.com/spreadsheets/d/11923uPwbBZFjjGgGUA6NLw09EwE0CqkOc4q9oUmW1yo/edit?usp=sharing"",""อุตรดิตถ์!M499"")"),0)</f>
        <v>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IFERROR(__xludf.DUMMYFUNCTION("IMPORTRANGE(""https://docs.google.com/spreadsheets/d/11923uPwbBZFjjGgGUA6NLw09EwE0CqkOc4q9oUmW1yo/edit?usp=sharing"",""อุตรดิตถ์!M500"")"),1600)</f>
        <v>1600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IFERROR(__xludf.DUMMYFUNCTION("IMPORTRANGE(""https://docs.google.com/spreadsheets/d/11923uPwbBZFjjGgGUA6NLw09EwE0CqkOc4q9oUmW1yo/edit?usp=sharing"",""อุตรดิตถ์!J502"")"),0)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IFERROR(__xludf.DUMMYFUNCTION("IMPORTRANGE(""https://docs.google.com/spreadsheets/d/11923uPwbBZFjjGgGUA6NLw09EwE0CqkOc4q9oUmW1yo/edit?usp=sharing"",""อุตรดิตถ์!J503"")"),1)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IFERROR(__xludf.DUMMYFUNCTION("IMPORTRANGE(""https://docs.google.com/spreadsheets/d/11923uPwbBZFjjGgGUA6NLw09EwE0CqkOc4q9oUmW1yo/edit?usp=sharing"",""อุตรดิตถ์!J166"")"),0)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IFERROR(__xludf.DUMMYFUNCTION("IMPORTRANGE(""https://docs.google.com/spreadsheets/d/11923uPwbBZFjjGgGUA6NLw09EwE0CqkOc4q9oUmW1yo/edit?usp=sharing"",""อุตรดิตถ์!J166"")"),0)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IFERROR(__xludf.DUMMYFUNCTION("IMPORTRANGE(""https://docs.google.com/spreadsheets/d/11923uPwbBZFjjGgGUA6NLw09EwE0CqkOc4q9oUmW1yo/edit?usp=sharing"",""อุตรดิตถ์!I506"")"),50)</f>
        <v>50</v>
      </c>
      <c r="J611" s="162">
        <f ca="1">IFERROR(__xludf.DUMMYFUNCTION("IMPORTRANGE(""https://docs.google.com/spreadsheets/d/11923uPwbBZFjjGgGUA6NLw09EwE0CqkOc4q9oUmW1yo/edit?usp=sharing"",""อุตรดิตถ์!J506"")"),0)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IFERROR(__xludf.DUMMYFUNCTION("IMPORTRANGE(""https://docs.google.com/spreadsheets/d/11923uPwbBZFjjGgGUA6NLw09EwE0CqkOc4q9oUmW1yo/edit?usp=sharing"",""อุตรดิตถ์!I507"")"),0)</f>
        <v>0</v>
      </c>
      <c r="J612" s="197">
        <f ca="1">IFERROR(__xludf.DUMMYFUNCTION("IMPORTRANGE(""https://docs.google.com/spreadsheets/d/11923uPwbBZFjjGgGUA6NLw09EwE0CqkOc4q9oUmW1yo/edit?usp=sharing"",""อุตรดิตถ์!J507"")"),0)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IFERROR(__xludf.DUMMYFUNCTION("IMPORTRANGE(""https://docs.google.com/spreadsheets/d/11923uPwbBZFjjGgGUA6NLw09EwE0CqkOc4q9oUmW1yo/edit?usp=sharing"",""อุตรดิตถ์!I508"")"),0)</f>
        <v>0</v>
      </c>
      <c r="J613" s="197">
        <f ca="1">IFERROR(__xludf.DUMMYFUNCTION("IMPORTRANGE(""https://docs.google.com/spreadsheets/d/11923uPwbBZFjjGgGUA6NLw09EwE0CqkOc4q9oUmW1yo/edit?usp=sharing"",""อุตรดิตถ์!J508"")"),0)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IFERROR(__xludf.DUMMYFUNCTION("IMPORTRANGE(""https://docs.google.com/spreadsheets/d/11923uPwbBZFjjGgGUA6NLw09EwE0CqkOc4q9oUmW1yo/edit?usp=sharing"",""อุตรดิตถ์!I509"")"),0)</f>
        <v>0</v>
      </c>
      <c r="J614" s="197">
        <f ca="1">IFERROR(__xludf.DUMMYFUNCTION("IMPORTRANGE(""https://docs.google.com/spreadsheets/d/11923uPwbBZFjjGgGUA6NLw09EwE0CqkOc4q9oUmW1yo/edit?usp=sharing"",""อุตรดิตถ์!J509"")"),0)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IFERROR(__xludf.DUMMYFUNCTION("IMPORTRANGE(""https://docs.google.com/spreadsheets/d/11923uPwbBZFjjGgGUA6NLw09EwE0CqkOc4q9oUmW1yo/edit?usp=sharing"",""อุตรดิตถ์!I510"")"),0)</f>
        <v>0</v>
      </c>
      <c r="J615" s="197">
        <f ca="1">IFERROR(__xludf.DUMMYFUNCTION("IMPORTRANGE(""https://docs.google.com/spreadsheets/d/11923uPwbBZFjjGgGUA6NLw09EwE0CqkOc4q9oUmW1yo/edit?usp=sharing"",""อุตรดิตถ์!J510"")"),0)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IFERROR(__xludf.DUMMYFUNCTION("IMPORTRANGE(""https://docs.google.com/spreadsheets/d/11923uPwbBZFjjGgGUA6NLw09EwE0CqkOc4q9oUmW1yo/edit?usp=sharing"",""อุตรดิตถ์!I511"")"),0)</f>
        <v>0</v>
      </c>
      <c r="J616" s="197">
        <f ca="1">IFERROR(__xludf.DUMMYFUNCTION("IMPORTRANGE(""https://docs.google.com/spreadsheets/d/11923uPwbBZFjjGgGUA6NLw09EwE0CqkOc4q9oUmW1yo/edit?usp=sharing"",""อุตรดิตถ์!J511"")"),0)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IFERROR(__xludf.DUMMYFUNCTION("IMPORTRANGE(""https://docs.google.com/spreadsheets/d/11923uPwbBZFjjGgGUA6NLw09EwE0CqkOc4q9oUmW1yo/edit?usp=sharing"",""อุตรดิตถ์!I512"")"),0)</f>
        <v>0</v>
      </c>
      <c r="J617" s="187">
        <f ca="1">IFERROR(__xludf.DUMMYFUNCTION("IMPORTRANGE(""https://docs.google.com/spreadsheets/d/11923uPwbBZFjjGgGUA6NLw09EwE0CqkOc4q9oUmW1yo/edit?usp=sharing"",""อุตรดิตถ์!J512"")"),0)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IFERROR(__xludf.DUMMYFUNCTION("IMPORTRANGE(""https://docs.google.com/spreadsheets/d/11923uPwbBZFjjGgGUA6NLw09EwE0CqkOc4q9oUmW1yo/edit?usp=sharing"",""อุตรดิตถ์!I513"")"),0)</f>
        <v>0</v>
      </c>
      <c r="J618" s="188">
        <f ca="1">IFERROR(__xludf.DUMMYFUNCTION("IMPORTRANGE(""https://docs.google.com/spreadsheets/d/11923uPwbBZFjjGgGUA6NLw09EwE0CqkOc4q9oUmW1yo/edit?usp=sharing"",""อุตรดิตถ์!J513"")"),0)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IFERROR(__xludf.DUMMYFUNCTION("IMPORTRANGE(""https://docs.google.com/spreadsheets/d/11923uPwbBZFjjGgGUA6NLw09EwE0CqkOc4q9oUmW1yo/edit?usp=sharing"",""อุตรดิตถ์!I514"")"),0)</f>
        <v>0</v>
      </c>
      <c r="J619" s="188">
        <f ca="1">IFERROR(__xludf.DUMMYFUNCTION("IMPORTRANGE(""https://docs.google.com/spreadsheets/d/11923uPwbBZFjjGgGUA6NLw09EwE0CqkOc4q9oUmW1yo/edit?usp=sharing"",""อุตรดิตถ์!J514"")"),0)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IFERROR(__xludf.DUMMYFUNCTION("IMPORTRANGE(""https://docs.google.com/spreadsheets/d/11923uPwbBZFjjGgGUA6NLw09EwE0CqkOc4q9oUmW1yo/edit?usp=sharing"",""อุตรดิตถ์!I515"")"),1577)</f>
        <v>1577</v>
      </c>
      <c r="J620" s="202">
        <f ca="1">IFERROR(__xludf.DUMMYFUNCTION("IMPORTRANGE(""https://docs.google.com/spreadsheets/d/11923uPwbBZFjjGgGUA6NLw09EwE0CqkOc4q9oUmW1yo/edit?usp=sharing"",""อุตรดิตถ์!J515"")"),0)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IFERROR(__xludf.DUMMYFUNCTION("IMPORTRANGE(""https://docs.google.com/spreadsheets/d/11923uPwbBZFjjGgGUA6NLw09EwE0CqkOc4q9oUmW1yo/edit?usp=sharing"",""อุตรดิตถ์!I516"")"),0)</f>
        <v>0</v>
      </c>
      <c r="J621" s="202">
        <f ca="1">IFERROR(__xludf.DUMMYFUNCTION("IMPORTRANGE(""https://docs.google.com/spreadsheets/d/11923uPwbBZFjjGgGUA6NLw09EwE0CqkOc4q9oUmW1yo/edit?usp=sharing"",""อุตรดิตถ์!J516"")"),0)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IFERROR(__xludf.DUMMYFUNCTION("IMPORTRANGE(""https://docs.google.com/spreadsheets/d/11923uPwbBZFjjGgGUA6NLw09EwE0CqkOc4q9oUmW1yo/edit?usp=sharing"",""อุตรดิตถ์!I517"")"),0)</f>
        <v>0</v>
      </c>
      <c r="J622" s="188">
        <f ca="1">IFERROR(__xludf.DUMMYFUNCTION("IMPORTRANGE(""https://docs.google.com/spreadsheets/d/11923uPwbBZFjjGgGUA6NLw09EwE0CqkOc4q9oUmW1yo/edit?usp=sharing"",""อุตรดิตถ์!J517"")"),0)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IFERROR(__xludf.DUMMYFUNCTION("IMPORTRANGE(""https://docs.google.com/spreadsheets/d/11923uPwbBZFjjGgGUA6NLw09EwE0CqkOc4q9oUmW1yo/edit?usp=sharing"",""อุตรดิตถ์!I518"")"),0)</f>
        <v>0</v>
      </c>
      <c r="J623" s="188">
        <f ca="1">IFERROR(__xludf.DUMMYFUNCTION("IMPORTRANGE(""https://docs.google.com/spreadsheets/d/11923uPwbBZFjjGgGUA6NLw09EwE0CqkOc4q9oUmW1yo/edit?usp=sharing"",""อุตรดิตถ์!J518"")"),0)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IFERROR(__xludf.DUMMYFUNCTION("IMPORTRANGE(""https://docs.google.com/spreadsheets/d/11923uPwbBZFjjGgGUA6NLw09EwE0CqkOc4q9oUmW1yo/edit?usp=sharing"",""อุตรดิตถ์!I519"")"),0)</f>
        <v>0</v>
      </c>
      <c r="J624" s="187">
        <f ca="1">IFERROR(__xludf.DUMMYFUNCTION("IMPORTRANGE(""https://docs.google.com/spreadsheets/d/11923uPwbBZFjjGgGUA6NLw09EwE0CqkOc4q9oUmW1yo/edit?usp=sharing"",""อุตรดิตถ์!J519"")"),0)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IFERROR(__xludf.DUMMYFUNCTION("IMPORTRANGE(""https://docs.google.com/spreadsheets/d/11923uPwbBZFjjGgGUA6NLw09EwE0CqkOc4q9oUmW1yo/edit?usp=sharing"",""อุตรดิตถ์!I520"")"),0)</f>
        <v>0</v>
      </c>
      <c r="J625" s="188">
        <f ca="1">IFERROR(__xludf.DUMMYFUNCTION("IMPORTRANGE(""https://docs.google.com/spreadsheets/d/11923uPwbBZFjjGgGUA6NLw09EwE0CqkOc4q9oUmW1yo/edit?usp=sharing"",""อุตรดิตถ์!J520"")"),0)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IFERROR(__xludf.DUMMYFUNCTION("IMPORTRANGE(""https://docs.google.com/spreadsheets/d/11923uPwbBZFjjGgGUA6NLw09EwE0CqkOc4q9oUmW1yo/edit?usp=sharing"",""อุตรดิตถ์!I521"")"),0)</f>
        <v>0</v>
      </c>
      <c r="J626" s="188">
        <f ca="1">IFERROR(__xludf.DUMMYFUNCTION("IMPORTRANGE(""https://docs.google.com/spreadsheets/d/11923uPwbBZFjjGgGUA6NLw09EwE0CqkOc4q9oUmW1yo/edit?usp=sharing"",""อุตรดิตถ์!J521"")"),0)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IFERROR(__xludf.DUMMYFUNCTION("IMPORTRANGE(""https://docs.google.com/spreadsheets/d/11923uPwbBZFjjGgGUA6NLw09EwE0CqkOc4q9oUmW1yo/edit?usp=sharing"",""อุตรดิตถ์!I523"")"),20731392.96)</f>
        <v>20731392.960000001</v>
      </c>
      <c r="J628" s="339">
        <f ca="1">IFERROR(__xludf.DUMMYFUNCTION("IMPORTRANGE(""https://docs.google.com/spreadsheets/d/11923uPwbBZFjjGgGUA6NLw09EwE0CqkOc4q9oUmW1yo/edit?usp=sharing"",""อุตรดิตถ์!J523"")"),7131414.22)</f>
        <v>7131414.2199999997</v>
      </c>
      <c r="K628" s="340">
        <f t="shared" ref="K628:K635" ca="1" si="129">IF(I628&gt;0,J628*100/I628,0)</f>
        <v>34.39910783496142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IFERROR(__xludf.DUMMYFUNCTION("IMPORTRANGE(""https://docs.google.com/spreadsheets/d/11923uPwbBZFjjGgGUA6NLw09EwE0CqkOc4q9oUmW1yo/edit?usp=sharing"",""อุตรดิตถ์!I524"")"),842)</f>
        <v>842</v>
      </c>
      <c r="J629" s="339">
        <f ca="1">IFERROR(__xludf.DUMMYFUNCTION("IMPORTRANGE(""https://docs.google.com/spreadsheets/d/11923uPwbBZFjjGgGUA6NLw09EwE0CqkOc4q9oUmW1yo/edit?usp=sharing"",""อุตรดิตถ์!J524"")"),536)</f>
        <v>536</v>
      </c>
      <c r="K629" s="340">
        <f t="shared" ca="1" si="129"/>
        <v>63.657957244655584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IFERROR(__xludf.DUMMYFUNCTION("IMPORTRANGE(""https://docs.google.com/spreadsheets/d/11923uPwbBZFjjGgGUA6NLw09EwE0CqkOc4q9oUmW1yo/edit?usp=sharing"",""อุตรดิตถ์!I525"")"),19324248.74)</f>
        <v>19324248.739999998</v>
      </c>
      <c r="J630" s="339">
        <f ca="1">IFERROR(__xludf.DUMMYFUNCTION("IMPORTRANGE(""https://docs.google.com/spreadsheets/d/11923uPwbBZFjjGgGUA6NLw09EwE0CqkOc4q9oUmW1yo/edit?usp=sharing"",""อุตรดิตถ์!J525"")"),1407298.69)</f>
        <v>1407298.69</v>
      </c>
      <c r="K630" s="340">
        <f t="shared" ca="1" si="129"/>
        <v>7.2825531741732288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IFERROR(__xludf.DUMMYFUNCTION("IMPORTRANGE(""https://docs.google.com/spreadsheets/d/11923uPwbBZFjjGgGUA6NLw09EwE0CqkOc4q9oUmW1yo/edit?usp=sharing"",""อุตรดิตถ์!I526"")"),698)</f>
        <v>698</v>
      </c>
      <c r="J631" s="339">
        <f ca="1">IFERROR(__xludf.DUMMYFUNCTION("IMPORTRANGE(""https://docs.google.com/spreadsheets/d/11923uPwbBZFjjGgGUA6NLw09EwE0CqkOc4q9oUmW1yo/edit?usp=sharing"",""อุตรดิตถ์!J526"")"),242)</f>
        <v>242</v>
      </c>
      <c r="K631" s="340">
        <f t="shared" ca="1" si="129"/>
        <v>34.670487106017191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39">
        <f ca="1">IFERROR(__xludf.DUMMYFUNCTION("IMPORTRANGE(""https://docs.google.com/spreadsheets/d/11923uPwbBZFjjGgGUA6NLw09EwE0CqkOc4q9oUmW1yo/edit?usp=sharing"",""อุตรดิตถ์!J527"")"),140334.57)</f>
        <v>140334.57</v>
      </c>
      <c r="K632" s="340">
        <f t="shared" ca="1" si="129"/>
        <v>5.0919236636465097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IFERROR(__xludf.DUMMYFUNCTION("IMPORTRANGE(""https://docs.google.com/spreadsheets/d/11923uPwbBZFjjGgGUA6NLw09EwE0CqkOc4q9oUmW1yo/edit?usp=sharing"",""อุตรดิตถ์!I528"")"),79)</f>
        <v>79</v>
      </c>
      <c r="J633" s="339">
        <f ca="1">IFERROR(__xludf.DUMMYFUNCTION("IMPORTRANGE(""https://docs.google.com/spreadsheets/d/11923uPwbBZFjjGgGUA6NLw09EwE0CqkOc4q9oUmW1yo/edit?usp=sharing"",""อุตรดิตถ์!J528"")"),21)</f>
        <v>21</v>
      </c>
      <c r="K633" s="340">
        <f t="shared" ca="1" si="129"/>
        <v>26.582278481012658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39">
        <f ca="1">IFERROR(__xludf.DUMMYFUNCTION("IMPORTRANGE(""https://docs.google.com/spreadsheets/d/11923uPwbBZFjjGgGUA6NLw09EwE0CqkOc4q9oUmW1yo/edit?usp=sharing"",""อุตรดิตถ์!J529"")"),3840000)</f>
        <v>3840000</v>
      </c>
      <c r="K634" s="340">
        <f t="shared" ca="1" si="129"/>
        <v>25.6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IFERROR(__xludf.DUMMYFUNCTION("IMPORTRANGE(""https://docs.google.com/spreadsheets/d/11923uPwbBZFjjGgGUA6NLw09EwE0CqkOc4q9oUmW1yo/edit?usp=sharing"",""อุตรดิตถ์!I530"")"),400)</f>
        <v>400</v>
      </c>
      <c r="J635" s="502">
        <f ca="1">IFERROR(__xludf.DUMMYFUNCTION("IMPORTRANGE(""https://docs.google.com/spreadsheets/d/11923uPwbBZFjjGgGUA6NLw09EwE0CqkOc4q9oUmW1yo/edit?usp=sharing"",""อุตรดิตถ์!J530"")"),90)</f>
        <v>90</v>
      </c>
      <c r="K635" s="484">
        <f t="shared" ca="1" si="129"/>
        <v>22.5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9" width="15.36328125" bestFit="1" customWidth="1"/>
    <col min="10" max="10" width="11.90625" bestFit="1" customWidth="1"/>
    <col min="11" max="11" width="11" bestFit="1" customWidth="1"/>
    <col min="12" max="13" width="20.08984375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270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6696150</v>
      </c>
      <c r="M8" s="23">
        <f t="shared" ca="1" si="0"/>
        <v>2711163</v>
      </c>
      <c r="N8" s="23">
        <f t="shared" ca="1" si="0"/>
        <v>2583454.33</v>
      </c>
      <c r="O8" s="22">
        <f t="shared" ref="O8:O16" ca="1" si="1">IF(L8&gt;0,N8*100/L8,0)</f>
        <v>38.581189638822309</v>
      </c>
      <c r="P8" s="22">
        <f t="shared" ref="P8:P16" ca="1" si="2">IF(M8&gt;0,N8*100/M8,0)</f>
        <v>95.289524458691716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6696150</v>
      </c>
      <c r="M10" s="30">
        <f t="shared" ca="1" si="4"/>
        <v>2711163</v>
      </c>
      <c r="N10" s="30">
        <f t="shared" ca="1" si="4"/>
        <v>2583454.33</v>
      </c>
      <c r="O10" s="29">
        <f t="shared" ca="1" si="1"/>
        <v>38.581189638822309</v>
      </c>
      <c r="P10" s="29">
        <f t="shared" ca="1" si="2"/>
        <v>95.289524458691716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6458750</v>
      </c>
      <c r="M12" s="38">
        <f t="shared" ca="1" si="6"/>
        <v>2473763</v>
      </c>
      <c r="N12" s="38">
        <f t="shared" ca="1" si="6"/>
        <v>2346054.33</v>
      </c>
      <c r="O12" s="38">
        <f t="shared" ca="1" si="1"/>
        <v>36.32365906715696</v>
      </c>
      <c r="P12" s="38">
        <f t="shared" ca="1" si="2"/>
        <v>94.837473517066911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2346000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4112750</v>
      </c>
      <c r="M14" s="38">
        <f t="shared" si="8"/>
        <v>0</v>
      </c>
      <c r="N14" s="38">
        <f t="shared" ca="1" si="8"/>
        <v>544338.32999999996</v>
      </c>
      <c r="O14" s="38">
        <f t="shared" ca="1" si="1"/>
        <v>13.235385812412618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237400</v>
      </c>
      <c r="M16" s="38">
        <f t="shared" ca="1" si="10"/>
        <v>237400</v>
      </c>
      <c r="N16" s="38">
        <f t="shared" ca="1" si="10"/>
        <v>237400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4508755</v>
      </c>
      <c r="M18" s="23">
        <f t="shared" ca="1" si="11"/>
        <v>2711163</v>
      </c>
      <c r="N18" s="23">
        <f t="shared" ca="1" si="11"/>
        <v>2039116</v>
      </c>
      <c r="O18" s="22">
        <f t="shared" ref="O18:O20" ca="1" si="12">IF(L18&gt;0,N18*100/L18,0)</f>
        <v>45.225699777433015</v>
      </c>
      <c r="P18" s="22">
        <f t="shared" ref="P18:P26" ca="1" si="13">IF(M18&gt;0,N18*100/M18,0)</f>
        <v>75.211855576370738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4508755</v>
      </c>
      <c r="M20" s="30">
        <f t="shared" ca="1" si="15"/>
        <v>2711163</v>
      </c>
      <c r="N20" s="30">
        <f t="shared" ca="1" si="15"/>
        <v>2039116</v>
      </c>
      <c r="O20" s="29">
        <f t="shared" ca="1" si="12"/>
        <v>45.225699777433015</v>
      </c>
      <c r="P20" s="29">
        <f t="shared" ca="1" si="13"/>
        <v>75.211855576370738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4271355</v>
      </c>
      <c r="M22" s="41">
        <f t="shared" ca="1" si="18"/>
        <v>2473763</v>
      </c>
      <c r="N22" s="38">
        <f t="shared" ca="1" si="18"/>
        <v>1801716</v>
      </c>
      <c r="O22" s="38">
        <f t="shared" ca="1" si="17"/>
        <v>42.181368675748097</v>
      </c>
      <c r="P22" s="38">
        <f t="shared" ca="1" si="13"/>
        <v>72.833007850792498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2346000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1925355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237400</v>
      </c>
      <c r="M26" s="49">
        <f t="shared" ca="1" si="22"/>
        <v>237400</v>
      </c>
      <c r="N26" s="49">
        <f t="shared" ca="1" si="22"/>
        <v>237400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2187395</v>
      </c>
      <c r="M28" s="23">
        <f t="shared" si="23"/>
        <v>0</v>
      </c>
      <c r="N28" s="23">
        <f t="shared" ca="1" si="23"/>
        <v>544338.32999999996</v>
      </c>
      <c r="O28" s="22">
        <f t="shared" ref="O28:O30" ca="1" si="24">IF(L28&gt;0,N28*100/L28,0)</f>
        <v>24.885232434013972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2187395</v>
      </c>
      <c r="M30" s="30">
        <f t="shared" si="27"/>
        <v>0</v>
      </c>
      <c r="N30" s="30">
        <f t="shared" ca="1" si="27"/>
        <v>544338.32999999996</v>
      </c>
      <c r="O30" s="29">
        <f t="shared" ca="1" si="24"/>
        <v>24.885232434013972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2187395</v>
      </c>
      <c r="M32" s="38">
        <f t="shared" si="30"/>
        <v>0</v>
      </c>
      <c r="N32" s="38">
        <f t="shared" ca="1" si="30"/>
        <v>544338.32999999996</v>
      </c>
      <c r="O32" s="38">
        <f t="shared" ca="1" si="29"/>
        <v>24.885232434013972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2187395</v>
      </c>
      <c r="M34" s="38">
        <f t="shared" si="32"/>
        <v>0</v>
      </c>
      <c r="N34" s="38">
        <f t="shared" ca="1" si="32"/>
        <v>544338.32999999996</v>
      </c>
      <c r="O34" s="38">
        <f t="shared" ca="1" si="29"/>
        <v>24.885232434013972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4508755</v>
      </c>
      <c r="M37" s="54">
        <f t="shared" ca="1" si="33"/>
        <v>2711163</v>
      </c>
      <c r="N37" s="54">
        <f t="shared" ca="1" si="33"/>
        <v>2039116</v>
      </c>
      <c r="O37" s="55">
        <f t="shared" ca="1" si="29"/>
        <v>45.225699777433015</v>
      </c>
      <c r="P37" s="55">
        <f t="shared" ca="1" si="25"/>
        <v>75.211855576370738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784100</v>
      </c>
      <c r="M41" s="78">
        <f t="shared" ca="1" si="34"/>
        <v>392100</v>
      </c>
      <c r="N41" s="78">
        <f t="shared" ca="1" si="34"/>
        <v>354723</v>
      </c>
      <c r="O41" s="77">
        <f t="shared" ref="O41:O43" ca="1" si="35">IF(L41&gt;0,N41*100/L41,0)</f>
        <v>45.239510266547633</v>
      </c>
      <c r="P41" s="77">
        <f t="shared" ref="P41:P43" ca="1" si="36">IF(M41&gt;0,N41*100/M41,0)</f>
        <v>90.467482785003824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784100</v>
      </c>
      <c r="M43" s="78">
        <f t="shared" ca="1" si="38"/>
        <v>392100</v>
      </c>
      <c r="N43" s="78">
        <f t="shared" ca="1" si="38"/>
        <v>354723</v>
      </c>
      <c r="O43" s="77">
        <f t="shared" ca="1" si="35"/>
        <v>45.239510266547633</v>
      </c>
      <c r="P43" s="77">
        <f t="shared" ca="1" si="36"/>
        <v>90.467482785003824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784100</v>
      </c>
      <c r="M45" s="49">
        <f ca="1">IFERROR(__xludf.DUMMYFUNCTION("IMPORTRANGE(""https://docs.google.com/spreadsheets/d/1Yj_ptqi66GCucihVvJfMjLAmec39IyEx_6qawtMGysU/edit?usp=sharing"",""สบก!Q36"")"),392100)</f>
        <v>392100</v>
      </c>
      <c r="N45" s="49">
        <f ca="1">IFERROR(__xludf.DUMMYFUNCTION("IMPORTRANGE(""https://docs.google.com/spreadsheets/d/1Yj_ptqi66GCucihVvJfMjLAmec39IyEx_6qawtMGysU/edit?usp=sharing"",""สบก!R36"")"),354723)</f>
        <v>354723</v>
      </c>
      <c r="O45" s="38">
        <f ca="1">IF(L45&gt;0,N45*100/L45,0)</f>
        <v>45.239510266547633</v>
      </c>
      <c r="P45" s="38">
        <f ca="1">IF(M45&gt;0,N45*100/M45,0)</f>
        <v>90.467482785003824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IFERROR(__xludf.DUMMYFUNCTION("IMPORTRANGE(""https://docs.google.com/spreadsheets/d/1Yj_ptqi66GCucihVvJfMjLAmec39IyEx_6qawtMGysU/edit?usp=sharing"",""สบก!M36"")"),784100)</f>
        <v>784100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IFERROR(__xludf.DUMMYFUNCTION("IMPORTRANGE(""https://docs.google.com/spreadsheets/d/1Yj_ptqi66GCucihVvJfMjLAmec39IyEx_6qawtMGysU/edit?usp=sharing"",""สบก!N36"")"),0)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IFERROR(__xludf.DUMMYFUNCTION("IMPORTRANGE(""https://docs.google.com/spreadsheets/d/1Yj_ptqi66GCucihVvJfMjLAmec39IyEx_6qawtMGysU/edit?usp=sharing"",""สบก!O36"")"),0)</f>
        <v>0</v>
      </c>
      <c r="M49" s="49"/>
      <c r="N49" s="49">
        <f ca="1">IFERROR(__xludf.DUMMYFUNCTION("IMPORTRANGE(""https://docs.google.com/spreadsheets/d/1Yj_ptqi66GCucihVvJfMjLAmec39IyEx_6qawtMGysU/edit?usp=sharing"",""สบก!S36"")"),0)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750000</v>
      </c>
      <c r="M53" s="120">
        <f t="shared" ca="1" si="39"/>
        <v>395058</v>
      </c>
      <c r="N53" s="120">
        <f t="shared" ca="1" si="39"/>
        <v>372750</v>
      </c>
      <c r="O53" s="119">
        <f t="shared" ref="O53:O55" ca="1" si="40">IF(L53&gt;0,N53*100/L53,0)</f>
        <v>49.7</v>
      </c>
      <c r="P53" s="119">
        <f t="shared" ref="P53:P55" ca="1" si="41">IF(M53&gt;0,N53*100/M53,0)</f>
        <v>94.353234208647848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750000</v>
      </c>
      <c r="M55" s="120">
        <f t="shared" ca="1" si="43"/>
        <v>395058</v>
      </c>
      <c r="N55" s="120">
        <f t="shared" ca="1" si="43"/>
        <v>372750</v>
      </c>
      <c r="O55" s="119">
        <f t="shared" ca="1" si="40"/>
        <v>49.7</v>
      </c>
      <c r="P55" s="119">
        <f t="shared" ca="1" si="41"/>
        <v>94.353234208647848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750000</v>
      </c>
      <c r="M57" s="49">
        <f ca="1">IFERROR(__xludf.DUMMYFUNCTION("IMPORTRANGE(""https://docs.google.com/spreadsheets/d/1Yj_ptqi66GCucihVvJfMjLAmec39IyEx_6qawtMGysU/edit?usp=sharing"",""สบก!Z36"")"),395058)</f>
        <v>395058</v>
      </c>
      <c r="N57" s="49">
        <f ca="1">IFERROR(__xludf.DUMMYFUNCTION("IMPORTRANGE(""https://docs.google.com/spreadsheets/d/1Yj_ptqi66GCucihVvJfMjLAmec39IyEx_6qawtMGysU/edit?usp=sharing"",""สบก!AA36"")"),372750)</f>
        <v>372750</v>
      </c>
      <c r="O57" s="38">
        <f ca="1">IF(L57&gt;0,N57*100/L57,0)</f>
        <v>49.7</v>
      </c>
      <c r="P57" s="38">
        <f ca="1">IF(M57&gt;0,N57*100/M57,0)</f>
        <v>94.353234208647848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IFERROR(__xludf.DUMMYFUNCTION("IMPORTRANGE(""https://docs.google.com/spreadsheets/d/1Yj_ptqi66GCucihVvJfMjLAmec39IyEx_6qawtMGysU/edit?usp=sharing"",""สบก!V36"")"),750000)</f>
        <v>750000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IFERROR(__xludf.DUMMYFUNCTION("IMPORTRANGE(""https://docs.google.com/spreadsheets/d/1Yj_ptqi66GCucihVvJfMjLAmec39IyEx_6qawtMGysU/edit?usp=sharing"",""สบก!W36"")"),0)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IFERROR(__xludf.DUMMYFUNCTION("IMPORTRANGE(""https://docs.google.com/spreadsheets/d/1Yj_ptqi66GCucihVvJfMjLAmec39IyEx_6qawtMGysU/edit?usp=sharing"",""สบก!X36"")"),0)</f>
        <v>0</v>
      </c>
      <c r="M61" s="49"/>
      <c r="N61" s="49">
        <f ca="1">IFERROR(__xludf.DUMMYFUNCTION("IMPORTRANGE(""https://docs.google.com/spreadsheets/d/1Yj_ptqi66GCucihVvJfMjLAmec39IyEx_6qawtMGysU/edit?usp=sharing"",""สบก!AB36"")"),0)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IFERROR(__xludf.DUMMYFUNCTION("IMPORTRANGE(""https://docs.google.com/spreadsheets/d/11923uPwbBZFjjGgGUA6NLw09EwE0CqkOc4q9oUmW1yo/edit?usp=sharing"",""อุทัยธานี!I9"")"),2)</f>
        <v>2</v>
      </c>
      <c r="J64" s="141">
        <f ca="1">IFERROR(__xludf.DUMMYFUNCTION("IMPORTRANGE(""https://docs.google.com/spreadsheets/d/11923uPwbBZFjjGgGUA6NLw09EwE0CqkOc4q9oUmW1yo/edit?usp=sharing"",""อุทัยธานี!J9"")"),2)</f>
        <v>2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IFERROR(__xludf.DUMMYFUNCTION("IMPORTRANGE(""https://docs.google.com/spreadsheets/d/11923uPwbBZFjjGgGUA6NLw09EwE0CqkOc4q9oUmW1yo/edit?usp=sharing"",""อุทัยธานี!I10"")"),70)</f>
        <v>70</v>
      </c>
      <c r="J65" s="141">
        <f ca="1">IFERROR(__xludf.DUMMYFUNCTION("IMPORTRANGE(""https://docs.google.com/spreadsheets/d/11923uPwbBZFjjGgGUA6NLw09EwE0CqkOc4q9oUmW1yo/edit?usp=sharing"",""อุทัยธานี!J10"")"),70)</f>
        <v>70</v>
      </c>
      <c r="K65" s="142">
        <f t="shared" ca="1" si="44"/>
        <v>100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829500</v>
      </c>
      <c r="M66" s="151">
        <f t="shared" ca="1" si="45"/>
        <v>487300</v>
      </c>
      <c r="N66" s="151">
        <f t="shared" ca="1" si="45"/>
        <v>282045</v>
      </c>
      <c r="O66" s="150">
        <f t="shared" ref="O66:O68" ca="1" si="46">IF(L66&gt;0,N66*100/L66,0)</f>
        <v>34.001808318264011</v>
      </c>
      <c r="P66" s="150">
        <f t="shared" ref="P66:P68" ca="1" si="47">IF(M66&gt;0,N66*100/M66,0)</f>
        <v>57.879129899445928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829500</v>
      </c>
      <c r="M68" s="87">
        <f t="shared" ca="1" si="49"/>
        <v>487300</v>
      </c>
      <c r="N68" s="87">
        <f t="shared" ca="1" si="49"/>
        <v>282045</v>
      </c>
      <c r="O68" s="155">
        <f t="shared" ca="1" si="46"/>
        <v>34.001808318264011</v>
      </c>
      <c r="P68" s="155">
        <f t="shared" ca="1" si="47"/>
        <v>57.879129899445928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829500</v>
      </c>
      <c r="M70" s="167">
        <f ca="1">IFERROR(__xludf.DUMMYFUNCTION("IMPORTRANGE(""https://docs.google.com/spreadsheets/d/1Yj_ptqi66GCucihVvJfMjLAmec39IyEx_6qawtMGysU/edit?usp=sharing"",""สบก!AI36"")"),487300)</f>
        <v>487300</v>
      </c>
      <c r="N70" s="168">
        <f ca="1">IFERROR(__xludf.DUMMYFUNCTION("IMPORTRANGE(""https://docs.google.com/spreadsheets/d/1Yj_ptqi66GCucihVvJfMjLAmec39IyEx_6qawtMGysU/edit?usp=sharing"",""สบก!AJ36"")"),282045)</f>
        <v>282045</v>
      </c>
      <c r="O70" s="168">
        <f ca="1">IF(L70&gt;0,N70*100/L70,0)</f>
        <v>34.001808318264011</v>
      </c>
      <c r="P70" s="168">
        <f ca="1">IF(M70&gt;0,N70*100/M70,0)</f>
        <v>57.879129899445928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IFERROR(__xludf.DUMMYFUNCTION("IMPORTRANGE(""https://docs.google.com/spreadsheets/d/1Yj_ptqi66GCucihVvJfMjLAmec39IyEx_6qawtMGysU/edit?usp=sharing"",""สบก!AE36"")"),179500)</f>
        <v>179500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IFERROR(__xludf.DUMMYFUNCTION("IMPORTRANGE(""https://docs.google.com/spreadsheets/d/1Yj_ptqi66GCucihVvJfMjLAmec39IyEx_6qawtMGysU/edit?usp=sharing"",""สบก!AF36"")"),650000)</f>
        <v>650000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IFERROR(__xludf.DUMMYFUNCTION("IMPORTRANGE(""https://docs.google.com/spreadsheets/d/1Yj_ptqi66GCucihVvJfMjLAmec39IyEx_6qawtMGysU/edit?usp=sharing"",""สบก!AG36"")"),0)</f>
        <v>0</v>
      </c>
      <c r="M74" s="49"/>
      <c r="N74" s="49">
        <f ca="1">IFERROR(__xludf.DUMMYFUNCTION("IMPORTRANGE(""https://docs.google.com/spreadsheets/d/1Yj_ptqi66GCucihVvJfMjLAmec39IyEx_6qawtMGysU/edit?usp=sharing"",""สบก!AK36"")"),0)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IFERROR(__xludf.DUMMYFUNCTION("IMPORTRANGE(""https://docs.google.com/spreadsheets/d/11923uPwbBZFjjGgGUA6NLw09EwE0CqkOc4q9oUmW1yo/edit?usp=sharing"",""อุทัยธานี!J16"")"),0)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IFERROR(__xludf.DUMMYFUNCTION("IMPORTRANGE(""https://docs.google.com/spreadsheets/d/11923uPwbBZFjjGgGUA6NLw09EwE0CqkOc4q9oUmW1yo/edit?usp=sharing"",""อุทัยธานี!J17"")"),1)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IFERROR(__xludf.DUMMYFUNCTION("IMPORTRANGE(""https://docs.google.com/spreadsheets/d/11923uPwbBZFjjGgGUA6NLw09EwE0CqkOc4q9oUmW1yo/edit?usp=sharing"",""อุทัยธานี!J18"")"),1)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IFERROR(__xludf.DUMMYFUNCTION("IMPORTRANGE(""https://docs.google.com/spreadsheets/d/11923uPwbBZFjjGgGUA6NLw09EwE0CqkOc4q9oUmW1yo/edit?usp=sharing"",""อุทัยธานี!J19"")"),1)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IFERROR(__xludf.DUMMYFUNCTION("IMPORTRANGE(""https://docs.google.com/spreadsheets/d/11923uPwbBZFjjGgGUA6NLw09EwE0CqkOc4q9oUmW1yo/edit?usp=sharing"",""อุทัยธานี!I20"")"),2)</f>
        <v>2</v>
      </c>
      <c r="J80" s="200">
        <f ca="1">IFERROR(__xludf.DUMMYFUNCTION("IMPORTRANGE(""https://docs.google.com/spreadsheets/d/11923uPwbBZFjjGgGUA6NLw09EwE0CqkOc4q9oUmW1yo/edit?usp=sharing"",""อุทัยธานี!J20"")"),2)</f>
        <v>2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IFERROR(__xludf.DUMMYFUNCTION("IMPORTRANGE(""https://docs.google.com/spreadsheets/d/11923uPwbBZFjjGgGUA6NLw09EwE0CqkOc4q9oUmW1yo/edit?usp=sharing"",""อุทัยธานี!I21"")"),70)</f>
        <v>70</v>
      </c>
      <c r="J81" s="200">
        <f ca="1">IFERROR(__xludf.DUMMYFUNCTION("IMPORTRANGE(""https://docs.google.com/spreadsheets/d/11923uPwbBZFjjGgGUA6NLw09EwE0CqkOc4q9oUmW1yo/edit?usp=sharing"",""อุทัยธานี!J21"")"),70)</f>
        <v>70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IFERROR(__xludf.DUMMYFUNCTION("IMPORTRANGE(""https://docs.google.com/spreadsheets/d/11923uPwbBZFjjGgGUA6NLw09EwE0CqkOc4q9oUmW1yo/edit?usp=sharing"",""อุทัยธานี!I22"")"),1)</f>
        <v>1</v>
      </c>
      <c r="J82" s="203">
        <f ca="1">IFERROR(__xludf.DUMMYFUNCTION("IMPORTRANGE(""https://docs.google.com/spreadsheets/d/11923uPwbBZFjjGgGUA6NLw09EwE0CqkOc4q9oUmW1yo/edit?usp=sharing"",""อุทัยธานี!J22"")"),1)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IFERROR(__xludf.DUMMYFUNCTION("IMPORTRANGE(""https://docs.google.com/spreadsheets/d/11923uPwbBZFjjGgGUA6NLw09EwE0CqkOc4q9oUmW1yo/edit?usp=sharing"",""อุทัยธานี!I23"")"),30)</f>
        <v>30</v>
      </c>
      <c r="J83" s="203">
        <f ca="1">IFERROR(__xludf.DUMMYFUNCTION("IMPORTRANGE(""https://docs.google.com/spreadsheets/d/11923uPwbBZFjjGgGUA6NLw09EwE0CqkOc4q9oUmW1yo/edit?usp=sharing"",""อุทัยธานี!J23"")"),30)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IFERROR(__xludf.DUMMYFUNCTION("IMPORTRANGE(""https://docs.google.com/spreadsheets/d/11923uPwbBZFjjGgGUA6NLw09EwE0CqkOc4q9oUmW1yo/edit?usp=sharing"",""อุทัยธานี!I24"")"),0)</f>
        <v>0</v>
      </c>
      <c r="J84" s="188">
        <f ca="1">IFERROR(__xludf.DUMMYFUNCTION("IMPORTRANGE(""https://docs.google.com/spreadsheets/d/11923uPwbBZFjjGgGUA6NLw09EwE0CqkOc4q9oUmW1yo/edit?usp=sharing"",""อุทัยธานี!J24"")"),0)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IFERROR(__xludf.DUMMYFUNCTION("IMPORTRANGE(""https://docs.google.com/spreadsheets/d/11923uPwbBZFjjGgGUA6NLw09EwE0CqkOc4q9oUmW1yo/edit?usp=sharing"",""อุทัยธานี!I25"")"),0)</f>
        <v>0</v>
      </c>
      <c r="J85" s="188">
        <f ca="1">IFERROR(__xludf.DUMMYFUNCTION("IMPORTRANGE(""https://docs.google.com/spreadsheets/d/11923uPwbBZFjjGgGUA6NLw09EwE0CqkOc4q9oUmW1yo/edit?usp=sharing"",""อุทัยธานี!J25"")"),0)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IFERROR(__xludf.DUMMYFUNCTION("IMPORTRANGE(""https://docs.google.com/spreadsheets/d/11923uPwbBZFjjGgGUA6NLw09EwE0CqkOc4q9oUmW1yo/edit?usp=sharing"",""อุทัยธานี!I26"")"),1)</f>
        <v>1</v>
      </c>
      <c r="J86" s="203">
        <f ca="1">IFERROR(__xludf.DUMMYFUNCTION("IMPORTRANGE(""https://docs.google.com/spreadsheets/d/11923uPwbBZFjjGgGUA6NLw09EwE0CqkOc4q9oUmW1yo/edit?usp=sharing"",""อุทัยธานี!J26"")"),1)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IFERROR(__xludf.DUMMYFUNCTION("IMPORTRANGE(""https://docs.google.com/spreadsheets/d/11923uPwbBZFjjGgGUA6NLw09EwE0CqkOc4q9oUmW1yo/edit?usp=sharing"",""อุทัยธานี!I27"")"),40)</f>
        <v>40</v>
      </c>
      <c r="J87" s="203">
        <f ca="1">IFERROR(__xludf.DUMMYFUNCTION("IMPORTRANGE(""https://docs.google.com/spreadsheets/d/11923uPwbBZFjjGgGUA6NLw09EwE0CqkOc4q9oUmW1yo/edit?usp=sharing"",""อุทัยธานี!J27"")"),40)</f>
        <v>40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IFERROR(__xludf.DUMMYFUNCTION("IMPORTRANGE(""https://docs.google.com/spreadsheets/d/11923uPwbBZFjjGgGUA6NLw09EwE0CqkOc4q9oUmW1yo/edit?usp=sharing"",""อุทัยธานี!I28"")"),30)</f>
        <v>30</v>
      </c>
      <c r="J88" s="203">
        <f ca="1">IFERROR(__xludf.DUMMYFUNCTION("IMPORTRANGE(""https://docs.google.com/spreadsheets/d/11923uPwbBZFjjGgGUA6NLw09EwE0CqkOc4q9oUmW1yo/edit?usp=sharing"",""อุทัยธานี!J28"")"),0)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IFERROR(__xludf.DUMMYFUNCTION("IMPORTRANGE(""https://docs.google.com/spreadsheets/d/11923uPwbBZFjjGgGUA6NLw09EwE0CqkOc4q9oUmW1yo/edit?usp=sharing"",""อุทัยธานี!J29"")"),0)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IFERROR(__xludf.DUMMYFUNCTION("IMPORTRANGE(""https://docs.google.com/spreadsheets/d/11923uPwbBZFjjGgGUA6NLw09EwE0CqkOc4q9oUmW1yo/edit?usp=sharing"",""อุทัยธานี!J30"")"),0)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IFERROR(__xludf.DUMMYFUNCTION("IMPORTRANGE(""https://docs.google.com/spreadsheets/d/11923uPwbBZFjjGgGUA6NLw09EwE0CqkOc4q9oUmW1yo/edit?usp=sharing"",""อุทัยธานี!I32"")"),4)</f>
        <v>4</v>
      </c>
      <c r="J92" s="141">
        <f ca="1">IFERROR(__xludf.DUMMYFUNCTION("IMPORTRANGE(""https://docs.google.com/spreadsheets/d/11923uPwbBZFjjGgGUA6NLw09EwE0CqkOc4q9oUmW1yo/edit?usp=sharing"",""อุทัยธานี!J32"")"),0)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IFERROR(__xludf.DUMMYFUNCTION("IMPORTRANGE(""https://docs.google.com/spreadsheets/d/11923uPwbBZFjjGgGUA6NLw09EwE0CqkOc4q9oUmW1yo/edit?usp=sharing"",""อุทัยธานี!I33"")"),1)</f>
        <v>1</v>
      </c>
      <c r="J93" s="141">
        <f ca="1">IFERROR(__xludf.DUMMYFUNCTION("IMPORTRANGE(""https://docs.google.com/spreadsheets/d/11923uPwbBZFjjGgGUA6NLw09EwE0CqkOc4q9oUmW1yo/edit?usp=sharing"",""อุทัยธานี!J33"")"),0)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214500</v>
      </c>
      <c r="M94" s="151">
        <f t="shared" ca="1" si="52"/>
        <v>161130</v>
      </c>
      <c r="N94" s="151">
        <f t="shared" ca="1" si="52"/>
        <v>104820</v>
      </c>
      <c r="O94" s="150">
        <f t="shared" ref="O94:O96" ca="1" si="53">IF(L94&gt;0,N94*100/L94,0)</f>
        <v>48.867132867132867</v>
      </c>
      <c r="P94" s="150">
        <f t="shared" ref="P94:P96" ca="1" si="54">IF(M94&gt;0,N94*100/M94,0)</f>
        <v>65.053062744367907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214500</v>
      </c>
      <c r="M96" s="87">
        <f t="shared" ca="1" si="56"/>
        <v>161130</v>
      </c>
      <c r="N96" s="87">
        <f t="shared" ca="1" si="56"/>
        <v>104820</v>
      </c>
      <c r="O96" s="155">
        <f t="shared" ca="1" si="53"/>
        <v>48.867132867132867</v>
      </c>
      <c r="P96" s="155">
        <f t="shared" ca="1" si="54"/>
        <v>65.053062744367907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IFERROR(__xludf.DUMMYFUNCTION("IMPORTRANGE(""https://docs.google.com/spreadsheets/d/1Yj_ptqi66GCucihVvJfMjLAmec39IyEx_6qawtMGysU/edit?usp=sharing"",""สบก!AR36"")"),68730)</f>
        <v>68730</v>
      </c>
      <c r="N98" s="168">
        <f ca="1">IFERROR(__xludf.DUMMYFUNCTION("IMPORTRANGE(""https://docs.google.com/spreadsheets/d/1Yj_ptqi66GCucihVvJfMjLAmec39IyEx_6qawtMGysU/edit?usp=sharing"",""สบก!AS36"")"),12420)</f>
        <v>12420</v>
      </c>
      <c r="O98" s="168">
        <f ca="1">IF(L98&gt;0,N98*100/L98,0)</f>
        <v>10.171990171990172</v>
      </c>
      <c r="P98" s="168">
        <f ca="1">IF(M98&gt;0,N98*100/M98,0)</f>
        <v>18.070711479703185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IFERROR(__xludf.DUMMYFUNCTION("IMPORTRANGE(""https://docs.google.com/spreadsheets/d/1Yj_ptqi66GCucihVvJfMjLAmec39IyEx_6qawtMGysU/edit?usp=sharing"",""สบก!AN36"")"),0)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IFERROR(__xludf.DUMMYFUNCTION("IMPORTRANGE(""https://docs.google.com/spreadsheets/d/1Yj_ptqi66GCucihVvJfMjLAmec39IyEx_6qawtMGysU/edit?usp=sharing"",""สบก!AO36"")"),122100)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IFERROR(__xludf.DUMMYFUNCTION("IMPORTRANGE(""https://docs.google.com/spreadsheets/d/1Yj_ptqi66GCucihVvJfMjLAmec39IyEx_6qawtMGysU/edit?usp=sharing"",""สบก!AP36"")"),92400)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IFERROR(__xludf.DUMMYFUNCTION("IMPORTRANGE(""https://docs.google.com/spreadsheets/d/1Yj_ptqi66GCucihVvJfMjLAmec39IyEx_6qawtMGysU/edit?usp=sharing"",""สบก!AT36"")"),92400)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IFERROR(__xludf.DUMMYFUNCTION("IMPORTRANGE(""https://docs.google.com/spreadsheets/d/11923uPwbBZFjjGgGUA6NLw09EwE0CqkOc4q9oUmW1yo/edit?usp=sharing"",""อุทัยธานี!J39"")"),0)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IFERROR(__xludf.DUMMYFUNCTION("IMPORTRANGE(""https://docs.google.com/spreadsheets/d/11923uPwbBZFjjGgGUA6NLw09EwE0CqkOc4q9oUmW1yo/edit?usp=sharing"",""อุทัยธานี!J40"")"),1)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IFERROR(__xludf.DUMMYFUNCTION("IMPORTRANGE(""https://docs.google.com/spreadsheets/d/11923uPwbBZFjjGgGUA6NLw09EwE0CqkOc4q9oUmW1yo/edit?usp=sharing"",""อุทัยธานี!J41"")"),1)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IFERROR(__xludf.DUMMYFUNCTION("IMPORTRANGE(""https://docs.google.com/spreadsheets/d/11923uPwbBZFjjGgGUA6NLw09EwE0CqkOc4q9oUmW1yo/edit?usp=sharing"",""อุทัยธานี!J42"")"),1)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IFERROR(__xludf.DUMMYFUNCTION("IMPORTRANGE(""https://docs.google.com/spreadsheets/d/11923uPwbBZFjjGgGUA6NLw09EwE0CqkOc4q9oUmW1yo/edit?usp=sharing"",""อุทัยธานี!I43"")"),1)</f>
        <v>1</v>
      </c>
      <c r="J108" s="203">
        <f ca="1">IFERROR(__xludf.DUMMYFUNCTION("IMPORTRANGE(""https://docs.google.com/spreadsheets/d/11923uPwbBZFjjGgGUA6NLw09EwE0CqkOc4q9oUmW1yo/edit?usp=sharing"",""อุทัยธานี!J43"")"),1)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IFERROR(__xludf.DUMMYFUNCTION("IMPORTRANGE(""https://docs.google.com/spreadsheets/d/11923uPwbBZFjjGgGUA6NLw09EwE0CqkOc4q9oUmW1yo/edit?usp=sharing"",""อุทัยธานี!I44"")"),4)</f>
        <v>4</v>
      </c>
      <c r="J109" s="203">
        <f ca="1">IFERROR(__xludf.DUMMYFUNCTION("IMPORTRANGE(""https://docs.google.com/spreadsheets/d/11923uPwbBZFjjGgGUA6NLw09EwE0CqkOc4q9oUmW1yo/edit?usp=sharing"",""อุทัยธานี!J44"")"),0)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IFERROR(__xludf.DUMMYFUNCTION("IMPORTRANGE(""https://docs.google.com/spreadsheets/d/11923uPwbBZFjjGgGUA6NLw09EwE0CqkOc4q9oUmW1yo/edit?usp=sharing"",""อุทัยธานี!I45"")"),4)</f>
        <v>4</v>
      </c>
      <c r="J110" s="203">
        <f ca="1">IFERROR(__xludf.DUMMYFUNCTION("IMPORTRANGE(""https://docs.google.com/spreadsheets/d/11923uPwbBZFjjGgGUA6NLw09EwE0CqkOc4q9oUmW1yo/edit?usp=sharing"",""อุทัยธานี!J45"")"),4)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IFERROR(__xludf.DUMMYFUNCTION("IMPORTRANGE(""https://docs.google.com/spreadsheets/d/11923uPwbBZFjjGgGUA6NLw09EwE0CqkOc4q9oUmW1yo/edit?usp=sharing"",""อุทัยธานี!I46"")"),4)</f>
        <v>4</v>
      </c>
      <c r="J111" s="203">
        <f ca="1">IFERROR(__xludf.DUMMYFUNCTION("IMPORTRANGE(""https://docs.google.com/spreadsheets/d/11923uPwbBZFjjGgGUA6NLw09EwE0CqkOc4q9oUmW1yo/edit?usp=sharing"",""อุทัยธานี!J46"")"),0)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IFERROR(__xludf.DUMMYFUNCTION("IMPORTRANGE(""https://docs.google.com/spreadsheets/d/11923uPwbBZFjjGgGUA6NLw09EwE0CqkOc4q9oUmW1yo/edit?usp=sharing"",""อุทัยธานี!I47"")"),4)</f>
        <v>4</v>
      </c>
      <c r="J112" s="203">
        <f ca="1">IFERROR(__xludf.DUMMYFUNCTION("IMPORTRANGE(""https://docs.google.com/spreadsheets/d/11923uPwbBZFjjGgGUA6NLw09EwE0CqkOc4q9oUmW1yo/edit?usp=sharing"",""อุทัยธานี!J47"")"),0)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IFERROR(__xludf.DUMMYFUNCTION("IMPORTRANGE(""https://docs.google.com/spreadsheets/d/11923uPwbBZFjjGgGUA6NLw09EwE0CqkOc4q9oUmW1yo/edit?usp=sharing"",""อุทัยธานี!I48"")"),1)</f>
        <v>1</v>
      </c>
      <c r="J113" s="203">
        <f ca="1">IFERROR(__xludf.DUMMYFUNCTION("IMPORTRANGE(""https://docs.google.com/spreadsheets/d/11923uPwbBZFjjGgGUA6NLw09EwE0CqkOc4q9oUmW1yo/edit?usp=sharing"",""อุทัยธานี!J48"")"),0)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IFERROR(__xludf.DUMMYFUNCTION("IMPORTRANGE(""https://docs.google.com/spreadsheets/d/11923uPwbBZFjjGgGUA6NLw09EwE0CqkOc4q9oUmW1yo/edit?usp=sharing"",""อุทัยธานี!J49"")"),0)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IFERROR(__xludf.DUMMYFUNCTION("IMPORTRANGE(""https://docs.google.com/spreadsheets/d/11923uPwbBZFjjGgGUA6NLw09EwE0CqkOc4q9oUmW1yo/edit?usp=sharing"",""อุทัยธานี!J50"")"),0)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IFERROR(__xludf.DUMMYFUNCTION("IMPORTRANGE(""https://docs.google.com/spreadsheets/d/11923uPwbBZFjjGgGUA6NLw09EwE0CqkOc4q9oUmW1yo/edit?usp=sharing"",""อุทัยธานี!I52"")"),0)</f>
        <v>0</v>
      </c>
      <c r="J117" s="141">
        <f ca="1">IFERROR(__xludf.DUMMYFUNCTION("IMPORTRANGE(""https://docs.google.com/spreadsheets/d/11923uPwbBZFjjGgGUA6NLw09EwE0CqkOc4q9oUmW1yo/edit?usp=sharing"",""อุทัยธานี!J52"")"),0)</f>
        <v>0</v>
      </c>
      <c r="K117" s="142">
        <f ca="1">IF(I117&gt;0,J117*100/I117,0)</f>
        <v>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0</v>
      </c>
      <c r="M118" s="151">
        <f t="shared" ca="1" si="58"/>
        <v>0</v>
      </c>
      <c r="N118" s="151">
        <f t="shared" ca="1" si="58"/>
        <v>0</v>
      </c>
      <c r="O118" s="150">
        <f t="shared" ref="O118:O120" ca="1" si="59">IF(L118&gt;0,N118*100/L118,0)</f>
        <v>0</v>
      </c>
      <c r="P118" s="150">
        <f t="shared" ref="P118:P120" ca="1" si="60">IF(M118&gt;0,N118*100/M118,0)</f>
        <v>0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0</v>
      </c>
      <c r="M120" s="87">
        <f t="shared" ca="1" si="62"/>
        <v>0</v>
      </c>
      <c r="N120" s="87">
        <f t="shared" ca="1" si="62"/>
        <v>0</v>
      </c>
      <c r="O120" s="155">
        <f t="shared" ca="1" si="59"/>
        <v>0</v>
      </c>
      <c r="P120" s="155">
        <f t="shared" ca="1" si="60"/>
        <v>0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IFERROR(__xludf.DUMMYFUNCTION("IMPORTRANGE(""https://docs.google.com/spreadsheets/d/1Yj_ptqi66GCucihVvJfMjLAmec39IyEx_6qawtMGysU/edit?usp=sharing"",""สบก!BA36"")"),0)</f>
        <v>0</v>
      </c>
      <c r="N122" s="168">
        <f ca="1">IFERROR(__xludf.DUMMYFUNCTION("IMPORTRANGE(""https://docs.google.com/spreadsheets/d/1Yj_ptqi66GCucihVvJfMjLAmec39IyEx_6qawtMGysU/edit?usp=sharing"",""สบก!BB36"")"),0)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IFERROR(__xludf.DUMMYFUNCTION("IMPORTRANGE(""https://docs.google.com/spreadsheets/d/1Yj_ptqi66GCucihVvJfMjLAmec39IyEx_6qawtMGysU/edit?usp=sharing"",""สบก!AW36"")"),0)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IFERROR(__xludf.DUMMYFUNCTION("IMPORTRANGE(""https://docs.google.com/spreadsheets/d/1Yj_ptqi66GCucihVvJfMjLAmec39IyEx_6qawtMGysU/edit?usp=sharing"",""สบก!AX36"")"),0)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IFERROR(__xludf.DUMMYFUNCTION("IMPORTRANGE(""https://docs.google.com/spreadsheets/d/1Yj_ptqi66GCucihVvJfMjLAmec39IyEx_6qawtMGysU/edit?usp=sharing"",""สบก!AY36"")"),0)</f>
        <v>0</v>
      </c>
      <c r="M126" s="49"/>
      <c r="N126" s="49">
        <f ca="1">IFERROR(__xludf.DUMMYFUNCTION("IMPORTRANGE(""https://docs.google.com/spreadsheets/d/1Yj_ptqi66GCucihVvJfMjLAmec39IyEx_6qawtMGysU/edit?usp=sharing"",""สบก!BC36"")"),0)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271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IFERROR(__xludf.DUMMYFUNCTION("IMPORTRANGE(""https://docs.google.com/spreadsheets/d/11923uPwbBZFjjGgGUA6NLw09EwE0CqkOc4q9oUmW1yo/edit?usp=sharing"",""อุทัยธานี!J58"")"),0)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IFERROR(__xludf.DUMMYFUNCTION("IMPORTRANGE(""https://docs.google.com/spreadsheets/d/11923uPwbBZFjjGgGUA6NLw09EwE0CqkOc4q9oUmW1yo/edit?usp=sharing"",""อุทัยธานี!J59"")"),0)</f>
        <v>0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IFERROR(__xludf.DUMMYFUNCTION("IMPORTRANGE(""https://docs.google.com/spreadsheets/d/11923uPwbBZFjjGgGUA6NLw09EwE0CqkOc4q9oUmW1yo/edit?usp=sharing"",""อุทัยธานี!J60"")"),0)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IFERROR(__xludf.DUMMYFUNCTION("IMPORTRANGE(""https://docs.google.com/spreadsheets/d/11923uPwbBZFjjGgGUA6NLw09EwE0CqkOc4q9oUmW1yo/edit?usp=sharing"",""อุทัยธานี!J61"")"),0)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IFERROR(__xludf.DUMMYFUNCTION("IMPORTRANGE(""https://docs.google.com/spreadsheets/d/11923uPwbBZFjjGgGUA6NLw09EwE0CqkOc4q9oUmW1yo/edit?usp=sharing"",""อุทัยธานี!I62"")"),0)</f>
        <v>0</v>
      </c>
      <c r="J132" s="203">
        <f ca="1">IFERROR(__xludf.DUMMYFUNCTION("IMPORTRANGE(""https://docs.google.com/spreadsheets/d/11923uPwbBZFjjGgGUA6NLw09EwE0CqkOc4q9oUmW1yo/edit?usp=sharing"",""อุทัยธานี!J62"")"),0)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IFERROR(__xludf.DUMMYFUNCTION("IMPORTRANGE(""https://docs.google.com/spreadsheets/d/11923uPwbBZFjjGgGUA6NLw09EwE0CqkOc4q9oUmW1yo/edit?usp=sharing"",""อุทัยธานี!I63"")"),0)</f>
        <v>0</v>
      </c>
      <c r="J133" s="203">
        <f ca="1">IFERROR(__xludf.DUMMYFUNCTION("IMPORTRANGE(""https://docs.google.com/spreadsheets/d/11923uPwbBZFjjGgGUA6NLw09EwE0CqkOc4q9oUmW1yo/edit?usp=sharing"",""อุทัยธานี!J63"")"),0)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IFERROR(__xludf.DUMMYFUNCTION("IMPORTRANGE(""https://docs.google.com/spreadsheets/d/11923uPwbBZFjjGgGUA6NLw09EwE0CqkOc4q9oUmW1yo/edit?usp=sharing"",""อุทัยธานี!J64"")"),0)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IFERROR(__xludf.DUMMYFUNCTION("IMPORTRANGE(""https://docs.google.com/spreadsheets/d/11923uPwbBZFjjGgGUA6NLw09EwE0CqkOc4q9oUmW1yo/edit?usp=sharing"",""อุทัยธานี!J65"")"),0)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IFERROR(__xludf.DUMMYFUNCTION("IMPORTRANGE(""https://docs.google.com/spreadsheets/d/11923uPwbBZFjjGgGUA6NLw09EwE0CqkOc4q9oUmW1yo/edit?usp=sharing"",""อุทัยธานี!I68"")"),0)</f>
        <v>0</v>
      </c>
      <c r="J138" s="266">
        <f ca="1">IFERROR(__xludf.DUMMYFUNCTION("IMPORTRANGE(""https://docs.google.com/spreadsheets/d/11923uPwbBZFjjGgGUA6NLw09EwE0CqkOc4q9oUmW1yo/edit?usp=sharing"",""อุทัยธานี!J68"")"),0)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83500</v>
      </c>
      <c r="M140" s="151">
        <f t="shared" ca="1" si="64"/>
        <v>53750</v>
      </c>
      <c r="N140" s="151">
        <f t="shared" ca="1" si="64"/>
        <v>41290</v>
      </c>
      <c r="O140" s="150">
        <f t="shared" ref="O140:O142" ca="1" si="65">IF(L140&gt;0,N140*100/L140,0)</f>
        <v>49.449101796407184</v>
      </c>
      <c r="P140" s="150">
        <f t="shared" ref="P140:P142" ca="1" si="66">IF(M140&gt;0,N140*100/M140,0)</f>
        <v>76.818604651162786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83500</v>
      </c>
      <c r="M142" s="87">
        <f t="shared" ca="1" si="68"/>
        <v>53750</v>
      </c>
      <c r="N142" s="87">
        <f t="shared" ca="1" si="68"/>
        <v>41290</v>
      </c>
      <c r="O142" s="155">
        <f t="shared" ca="1" si="65"/>
        <v>49.449101796407184</v>
      </c>
      <c r="P142" s="155">
        <f t="shared" ca="1" si="66"/>
        <v>76.818604651162786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83500</v>
      </c>
      <c r="M144" s="167">
        <f ca="1">IFERROR(__xludf.DUMMYFUNCTION("IMPORTRANGE(""https://docs.google.com/spreadsheets/d/1Yj_ptqi66GCucihVvJfMjLAmec39IyEx_6qawtMGysU/edit?usp=sharing"",""สบก!BJ36"")"),53750)</f>
        <v>53750</v>
      </c>
      <c r="N144" s="168">
        <f ca="1">IFERROR(__xludf.DUMMYFUNCTION("IMPORTRANGE(""https://docs.google.com/spreadsheets/d/1Yj_ptqi66GCucihVvJfMjLAmec39IyEx_6qawtMGysU/edit?usp=sharing"",""สบก!BK36"")"),41290)</f>
        <v>41290</v>
      </c>
      <c r="O144" s="168">
        <f ca="1">IF(L144&gt;0,N144*100/L144,0)</f>
        <v>49.449101796407184</v>
      </c>
      <c r="P144" s="168">
        <f ca="1">IF(M144&gt;0,N144*100/M144,0)</f>
        <v>76.818604651162786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IFERROR(__xludf.DUMMYFUNCTION("IMPORTRANGE(""https://docs.google.com/spreadsheets/d/1Yj_ptqi66GCucihVvJfMjLAmec39IyEx_6qawtMGysU/edit?usp=sharing"",""สบก!BF36"")"),0)</f>
        <v>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IFERROR(__xludf.DUMMYFUNCTION("IMPORTRANGE(""https://docs.google.com/spreadsheets/d/1Yj_ptqi66GCucihVvJfMjLAmec39IyEx_6qawtMGysU/edit?usp=sharing"",""สบก!BG36"")"),83500)</f>
        <v>83500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IFERROR(__xludf.DUMMYFUNCTION("IMPORTRANGE(""https://docs.google.com/spreadsheets/d/1Yj_ptqi66GCucihVvJfMjLAmec39IyEx_6qawtMGysU/edit?usp=sharing"",""สบก!BH36"")"),0)</f>
        <v>0</v>
      </c>
      <c r="M148" s="49"/>
      <c r="N148" s="49">
        <f ca="1">IFERROR(__xludf.DUMMYFUNCTION("IMPORTRANGE(""https://docs.google.com/spreadsheets/d/1Yj_ptqi66GCucihVvJfMjLAmec39IyEx_6qawtMGysU/edit?usp=sharing"",""สบก!BL36"")"),0)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IFERROR(__xludf.DUMMYFUNCTION("IMPORTRANGE(""https://docs.google.com/spreadsheets/d/11923uPwbBZFjjGgGUA6NLw09EwE0CqkOc4q9oUmW1yo/edit?usp=sharing"",""อุทัยธานี!I74"")"),4)</f>
        <v>4</v>
      </c>
      <c r="J149" s="274">
        <f ca="1">IFERROR(__xludf.DUMMYFUNCTION("IMPORTRANGE(""https://docs.google.com/spreadsheets/d/11923uPwbBZFjjGgGUA6NLw09EwE0CqkOc4q9oUmW1yo/edit?usp=sharing"",""อุทัยธานี!J74"")"),1)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IFERROR(__xludf.DUMMYFUNCTION("IMPORTRANGE(""https://docs.google.com/spreadsheets/d/11923uPwbBZFjjGgGUA6NLw09EwE0CqkOc4q9oUmW1yo/edit?usp=sharing"",""อุทัยธานี!J79"")"),0)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IFERROR(__xludf.DUMMYFUNCTION("IMPORTRANGE(""https://docs.google.com/spreadsheets/d/11923uPwbBZFjjGgGUA6NLw09EwE0CqkOc4q9oUmW1yo/edit?usp=sharing"",""อุทัยธานี!J80"")"),1)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IFERROR(__xludf.DUMMYFUNCTION("IMPORTRANGE(""https://docs.google.com/spreadsheets/d/11923uPwbBZFjjGgGUA6NLw09EwE0CqkOc4q9oUmW1yo/edit?usp=sharing"",""อุทัยธานี!J81"")"),0)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IFERROR(__xludf.DUMMYFUNCTION("IMPORTRANGE(""https://docs.google.com/spreadsheets/d/11923uPwbBZFjjGgGUA6NLw09EwE0CqkOc4q9oUmW1yo/edit?usp=sharing"",""อุทัยธานี!J82"")"),0)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IFERROR(__xludf.DUMMYFUNCTION("IMPORTRANGE(""https://docs.google.com/spreadsheets/d/11923uPwbBZFjjGgGUA6NLw09EwE0CqkOc4q9oUmW1yo/edit?usp=sharing"",""อุทัยธานี!I83"")"),4)</f>
        <v>4</v>
      </c>
      <c r="J158" s="188">
        <f ca="1">IFERROR(__xludf.DUMMYFUNCTION("IMPORTRANGE(""https://docs.google.com/spreadsheets/d/11923uPwbBZFjjGgGUA6NLw09EwE0CqkOc4q9oUmW1yo/edit?usp=sharing"",""อุทัยธานี!J83"")"),1)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IFERROR(__xludf.DUMMYFUNCTION("IMPORTRANGE(""https://docs.google.com/spreadsheets/d/11923uPwbBZFjjGgGUA6NLw09EwE0CqkOc4q9oUmW1yo/edit?usp=sharing"",""อุทัยธานี!J84"")"),10)</f>
        <v>10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IFERROR(__xludf.DUMMYFUNCTION("IMPORTRANGE(""https://docs.google.com/spreadsheets/d/11923uPwbBZFjjGgGUA6NLw09EwE0CqkOc4q9oUmW1yo/edit?usp=sharing"",""อุทัยธานี!J85"")"),10)</f>
        <v>10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IFERROR(__xludf.DUMMYFUNCTION("IMPORTRANGE(""https://docs.google.com/spreadsheets/d/11923uPwbBZFjjGgGUA6NLw09EwE0CqkOc4q9oUmW1yo/edit?usp=sharing"",""อุทัยธานี!J86"")"),0)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IFERROR(__xludf.DUMMYFUNCTION("IMPORTRANGE(""https://docs.google.com/spreadsheets/d/11923uPwbBZFjjGgGUA6NLw09EwE0CqkOc4q9oUmW1yo/edit?usp=sharing"",""อุทัยธานี!J87"")"),0)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IFERROR(__xludf.DUMMYFUNCTION("IMPORTRANGE(""https://docs.google.com/spreadsheets/d/11923uPwbBZFjjGgGUA6NLw09EwE0CqkOc4q9oUmW1yo/edit?usp=sharing"",""อุทัยธานี!J88"")"),0)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IFERROR(__xludf.DUMMYFUNCTION("IMPORTRANGE(""https://docs.google.com/spreadsheets/d/11923uPwbBZFjjGgGUA6NLw09EwE0CqkOc4q9oUmW1yo/edit?usp=sharing"",""อุทัยธานี!I89"")"),3)</f>
        <v>3</v>
      </c>
      <c r="J164" s="282">
        <f ca="1">IFERROR(__xludf.DUMMYFUNCTION("IMPORTRANGE(""https://docs.google.com/spreadsheets/d/11923uPwbBZFjjGgGUA6NLw09EwE0CqkOc4q9oUmW1yo/edit?usp=sharing"",""อุทัยธานี!J89"")"),0)</f>
        <v>0</v>
      </c>
      <c r="K164" s="283">
        <f ca="1">IF(I164&gt;0,J164*100/I164,0)</f>
        <v>0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IFERROR(__xludf.DUMMYFUNCTION("IMPORTRANGE(""https://docs.google.com/spreadsheets/d/11923uPwbBZFjjGgGUA6NLw09EwE0CqkOc4q9oUmW1yo/edit?usp=sharing"",""อุทัยธานี!J94"")"),0)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IFERROR(__xludf.DUMMYFUNCTION("IMPORTRANGE(""https://docs.google.com/spreadsheets/d/11923uPwbBZFjjGgGUA6NLw09EwE0CqkOc4q9oUmW1yo/edit?usp=sharing"",""อุทัยธานี!J95"")"),1)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IFERROR(__xludf.DUMMYFUNCTION("IMPORTRANGE(""https://docs.google.com/spreadsheets/d/11923uPwbBZFjjGgGUA6NLw09EwE0CqkOc4q9oUmW1yo/edit?usp=sharing"",""อุทัยธานี!J96"")"),0)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IFERROR(__xludf.DUMMYFUNCTION("IMPORTRANGE(""https://docs.google.com/spreadsheets/d/11923uPwbBZFjjGgGUA6NLw09EwE0CqkOc4q9oUmW1yo/edit?usp=sharing"",""อุทัยธานี!J97"")"),0)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IFERROR(__xludf.DUMMYFUNCTION("IMPORTRANGE(""https://docs.google.com/spreadsheets/d/11923uPwbBZFjjGgGUA6NLw09EwE0CqkOc4q9oUmW1yo/edit?usp=sharing"",""อุทัยธานี!I98"")"),3)</f>
        <v>3</v>
      </c>
      <c r="J173" s="188">
        <f ca="1">IFERROR(__xludf.DUMMYFUNCTION("IMPORTRANGE(""https://docs.google.com/spreadsheets/d/11923uPwbBZFjjGgGUA6NLw09EwE0CqkOc4q9oUmW1yo/edit?usp=sharing"",""อุทัยธานี!J98"")"),0)</f>
        <v>0</v>
      </c>
      <c r="K173" s="163">
        <f ca="1">IF(I173&gt;0,J173*100/I173,0)</f>
        <v>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IFERROR(__xludf.DUMMYFUNCTION("IMPORTRANGE(""https://docs.google.com/spreadsheets/d/11923uPwbBZFjjGgGUA6NLw09EwE0CqkOc4q9oUmW1yo/edit?usp=sharing"",""อุทัยธานี!J99"")"),0)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IFERROR(__xludf.DUMMYFUNCTION("IMPORTRANGE(""https://docs.google.com/spreadsheets/d/11923uPwbBZFjjGgGUA6NLw09EwE0CqkOc4q9oUmW1yo/edit?usp=sharing"",""อุทัยธานี!J100"")"),0)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IFERROR(__xludf.DUMMYFUNCTION("IMPORTRANGE(""https://docs.google.com/spreadsheets/d/11923uPwbBZFjjGgGUA6NLw09EwE0CqkOc4q9oUmW1yo/edit?usp=sharing"",""อุทัยธานี!I101"")"),0)</f>
        <v>0</v>
      </c>
      <c r="J176" s="282">
        <f ca="1">IFERROR(__xludf.DUMMYFUNCTION("IMPORTRANGE(""https://docs.google.com/spreadsheets/d/11923uPwbBZFjjGgGUA6NLw09EwE0CqkOc4q9oUmW1yo/edit?usp=sharing"",""อุทัยธานี!J101"")"),0)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IFERROR(__xludf.DUMMYFUNCTION("IMPORTRANGE(""https://docs.google.com/spreadsheets/d/11923uPwbBZFjjGgGUA6NLw09EwE0CqkOc4q9oUmW1yo/edit?usp=sharing"",""อุทัยธานี!J106"")"),0)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IFERROR(__xludf.DUMMYFUNCTION("IMPORTRANGE(""https://docs.google.com/spreadsheets/d/11923uPwbBZFjjGgGUA6NLw09EwE0CqkOc4q9oUmW1yo/edit?usp=sharing"",""อุทัยธานี!J107"")"),0)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IFERROR(__xludf.DUMMYFUNCTION("IMPORTRANGE(""https://docs.google.com/spreadsheets/d/11923uPwbBZFjjGgGUA6NLw09EwE0CqkOc4q9oUmW1yo/edit?usp=sharing"",""อุทัยธานี!J108"")"),0)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IFERROR(__xludf.DUMMYFUNCTION("IMPORTRANGE(""https://docs.google.com/spreadsheets/d/11923uPwbBZFjjGgGUA6NLw09EwE0CqkOc4q9oUmW1yo/edit?usp=sharing"",""อุทัยธานี!J109"")"),0)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IFERROR(__xludf.DUMMYFUNCTION("IMPORTRANGE(""https://docs.google.com/spreadsheets/d/11923uPwbBZFjjGgGUA6NLw09EwE0CqkOc4q9oUmW1yo/edit?usp=sharing"",""อุทัยธานี!I110"")"),0)</f>
        <v>0</v>
      </c>
      <c r="J185" s="203">
        <f ca="1">IFERROR(__xludf.DUMMYFUNCTION("IMPORTRANGE(""https://docs.google.com/spreadsheets/d/11923uPwbBZFjjGgGUA6NLw09EwE0CqkOc4q9oUmW1yo/edit?usp=sharing"",""อุทัยธานี!J110"")"),0)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IFERROR(__xludf.DUMMYFUNCTION("IMPORTRANGE(""https://docs.google.com/spreadsheets/d/11923uPwbBZFjjGgGUA6NLw09EwE0CqkOc4q9oUmW1yo/edit?usp=sharing"",""อุทัยธานี!I111"")"),0)</f>
        <v>0</v>
      </c>
      <c r="J186" s="203">
        <f ca="1">IFERROR(__xludf.DUMMYFUNCTION("IMPORTRANGE(""https://docs.google.com/spreadsheets/d/11923uPwbBZFjjGgGUA6NLw09EwE0CqkOc4q9oUmW1yo/edit?usp=sharing"",""อุทัยธานี!J111"")"),0)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IFERROR(__xludf.DUMMYFUNCTION("IMPORTRANGE(""https://docs.google.com/spreadsheets/d/11923uPwbBZFjjGgGUA6NLw09EwE0CqkOc4q9oUmW1yo/edit?usp=sharing"",""อุทัยธานี!J112"")"),0)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IFERROR(__xludf.DUMMYFUNCTION("IMPORTRANGE(""https://docs.google.com/spreadsheets/d/11923uPwbBZFjjGgGUA6NLw09EwE0CqkOc4q9oUmW1yo/edit?usp=sharing"",""อุทัยธานี!J113"")"),0)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IFERROR(__xludf.DUMMYFUNCTION("IMPORTRANGE(""https://docs.google.com/spreadsheets/d/11923uPwbBZFjjGgGUA6NLw09EwE0CqkOc4q9oUmW1yo/edit?usp=sharing"",""อุทัยธานี!I114"")"),100000)</f>
        <v>100000</v>
      </c>
      <c r="J189" s="282">
        <f ca="1">IFERROR(__xludf.DUMMYFUNCTION("IMPORTRANGE(""https://docs.google.com/spreadsheets/d/11923uPwbBZFjjGgGUA6NLw09EwE0CqkOc4q9oUmW1yo/edit?usp=sharing"",""อุทัยธานี!J114"")"),0)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IFERROR(__xludf.DUMMYFUNCTION("IMPORTRANGE(""https://docs.google.com/spreadsheets/d/11923uPwbBZFjjGgGUA6NLw09EwE0CqkOc4q9oUmW1yo/edit?usp=sharing"",""อุทัยธานี!J119"")"),0)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IFERROR(__xludf.DUMMYFUNCTION("IMPORTRANGE(""https://docs.google.com/spreadsheets/d/11923uPwbBZFjjGgGUA6NLw09EwE0CqkOc4q9oUmW1yo/edit?usp=sharing"",""อุทัยธานี!J120"")"),1)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IFERROR(__xludf.DUMMYFUNCTION("IMPORTRANGE(""https://docs.google.com/spreadsheets/d/11923uPwbBZFjjGgGUA6NLw09EwE0CqkOc4q9oUmW1yo/edit?usp=sharing"",""อุทัยธานี!J121"")"),0)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IFERROR(__xludf.DUMMYFUNCTION("IMPORTRANGE(""https://docs.google.com/spreadsheets/d/11923uPwbBZFjjGgGUA6NLw09EwE0CqkOc4q9oUmW1yo/edit?usp=sharing"",""อุทัยธานี!J122"")"),0)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IFERROR(__xludf.DUMMYFUNCTION("IMPORTRANGE(""https://docs.google.com/spreadsheets/d/11923uPwbBZFjjGgGUA6NLw09EwE0CqkOc4q9oUmW1yo/edit?usp=sharing"",""อุทัยธานี!I124"")"),100000)</f>
        <v>100000</v>
      </c>
      <c r="J199" s="188">
        <f ca="1">IFERROR(__xludf.DUMMYFUNCTION("IMPORTRANGE(""https://docs.google.com/spreadsheets/d/11923uPwbBZFjjGgGUA6NLw09EwE0CqkOc4q9oUmW1yo/edit?usp=sharing"",""อุทัยธานี!J124"")"),0)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IFERROR(__xludf.DUMMYFUNCTION("IMPORTRANGE(""https://docs.google.com/spreadsheets/d/11923uPwbBZFjjGgGUA6NLw09EwE0CqkOc4q9oUmW1yo/edit?usp=sharing"",""อุทัยธานี!I125"")"),100000)</f>
        <v>100000</v>
      </c>
      <c r="J200" s="188">
        <f ca="1">IFERROR(__xludf.DUMMYFUNCTION("IMPORTRANGE(""https://docs.google.com/spreadsheets/d/11923uPwbBZFjjGgGUA6NLw09EwE0CqkOc4q9oUmW1yo/edit?usp=sharing"",""อุทัยธานี!J125"")"),0)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IFERROR(__xludf.DUMMYFUNCTION("IMPORTRANGE(""https://docs.google.com/spreadsheets/d/11923uPwbBZFjjGgGUA6NLw09EwE0CqkOc4q9oUmW1yo/edit?usp=sharing"",""อุทัยธานี!I126"")"),0)</f>
        <v>0</v>
      </c>
      <c r="J201" s="188">
        <f ca="1">IFERROR(__xludf.DUMMYFUNCTION("IMPORTRANGE(""https://docs.google.com/spreadsheets/d/11923uPwbBZFjjGgGUA6NLw09EwE0CqkOc4q9oUmW1yo/edit?usp=sharing"",""อุทัยธานี!J126"")"),0)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IFERROR(__xludf.DUMMYFUNCTION("IMPORTRANGE(""https://docs.google.com/spreadsheets/d/11923uPwbBZFjjGgGUA6NLw09EwE0CqkOc4q9oUmW1yo/edit?usp=sharing"",""อุทัยธานี!J127"")"),0)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IFERROR(__xludf.DUMMYFUNCTION("IMPORTRANGE(""https://docs.google.com/spreadsheets/d/11923uPwbBZFjjGgGUA6NLw09EwE0CqkOc4q9oUmW1yo/edit?usp=sharing"",""อุทัยธานี!J128"")"),0)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IFERROR(__xludf.DUMMYFUNCTION("IMPORTRANGE(""https://docs.google.com/spreadsheets/d/11923uPwbBZFjjGgGUA6NLw09EwE0CqkOc4q9oUmW1yo/edit?usp=sharing"",""อุทัยธานี!I129"")"),0)</f>
        <v>0</v>
      </c>
      <c r="J204" s="282">
        <f ca="1">IFERROR(__xludf.DUMMYFUNCTION("IMPORTRANGE(""https://docs.google.com/spreadsheets/d/11923uPwbBZFjjGgGUA6NLw09EwE0CqkOc4q9oUmW1yo/edit?usp=sharing"",""อุทัยธานี!J129"")"),0)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IFERROR(__xludf.DUMMYFUNCTION("IMPORTRANGE(""https://docs.google.com/spreadsheets/d/11923uPwbBZFjjGgGUA6NLw09EwE0CqkOc4q9oUmW1yo/edit?usp=sharing"",""อุทัยธานี!J134"")"),0)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IFERROR(__xludf.DUMMYFUNCTION("IMPORTRANGE(""https://docs.google.com/spreadsheets/d/11923uPwbBZFjjGgGUA6NLw09EwE0CqkOc4q9oUmW1yo/edit?usp=sharing"",""อุทัยธานี!J135"")"),0)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IFERROR(__xludf.DUMMYFUNCTION("IMPORTRANGE(""https://docs.google.com/spreadsheets/d/11923uPwbBZFjjGgGUA6NLw09EwE0CqkOc4q9oUmW1yo/edit?usp=sharing"",""อุทัยธานี!J136"")"),0)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IFERROR(__xludf.DUMMYFUNCTION("IMPORTRANGE(""https://docs.google.com/spreadsheets/d/11923uPwbBZFjjGgGUA6NLw09EwE0CqkOc4q9oUmW1yo/edit?usp=sharing"",""อุทัยธานี!J137"")"),0)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IFERROR(__xludf.DUMMYFUNCTION("IMPORTRANGE(""https://docs.google.com/spreadsheets/d/11923uPwbBZFjjGgGUA6NLw09EwE0CqkOc4q9oUmW1yo/edit?usp=sharing"",""อุทัยธานี!I138"")"),0)</f>
        <v>0</v>
      </c>
      <c r="J213" s="203">
        <f ca="1">IFERROR(__xludf.DUMMYFUNCTION("IMPORTRANGE(""https://docs.google.com/spreadsheets/d/11923uPwbBZFjjGgGUA6NLw09EwE0CqkOc4q9oUmW1yo/edit?usp=sharing"",""อุทัยธานี!J138"")"),0)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IFERROR(__xludf.DUMMYFUNCTION("IMPORTRANGE(""https://docs.google.com/spreadsheets/d/11923uPwbBZFjjGgGUA6NLw09EwE0CqkOc4q9oUmW1yo/edit?usp=sharing"",""อุทัยธานี!I140"")"),0)</f>
        <v>0</v>
      </c>
      <c r="J215" s="203">
        <f ca="1">IFERROR(__xludf.DUMMYFUNCTION("IMPORTRANGE(""https://docs.google.com/spreadsheets/d/11923uPwbBZFjjGgGUA6NLw09EwE0CqkOc4q9oUmW1yo/edit?usp=sharing"",""อุทัยธานี!J140"")"),0)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IFERROR(__xludf.DUMMYFUNCTION("IMPORTRANGE(""https://docs.google.com/spreadsheets/d/11923uPwbBZFjjGgGUA6NLw09EwE0CqkOc4q9oUmW1yo/edit?usp=sharing"",""อุทัยธานี!I141"")"),0)</f>
        <v>0</v>
      </c>
      <c r="J216" s="203">
        <f ca="1">IFERROR(__xludf.DUMMYFUNCTION("IMPORTRANGE(""https://docs.google.com/spreadsheets/d/11923uPwbBZFjjGgGUA6NLw09EwE0CqkOc4q9oUmW1yo/edit?usp=sharing"",""อุทัยธานี!J141"")"),0)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IFERROR(__xludf.DUMMYFUNCTION("IMPORTRANGE(""https://docs.google.com/spreadsheets/d/11923uPwbBZFjjGgGUA6NLw09EwE0CqkOc4q9oUmW1yo/edit?usp=sharing"",""อุทัยธานี!J142"")"),0)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IFERROR(__xludf.DUMMYFUNCTION("IMPORTRANGE(""https://docs.google.com/spreadsheets/d/11923uPwbBZFjjGgGUA6NLw09EwE0CqkOc4q9oUmW1yo/edit?usp=sharing"",""อุทัยธานี!J143"")"),0)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IFERROR(__xludf.DUMMYFUNCTION("IMPORTRANGE(""https://docs.google.com/spreadsheets/d/11923uPwbBZFjjGgGUA6NLw09EwE0CqkOc4q9oUmW1yo/edit?usp=sharing"",""อุทัยธานี!I144"")"),15)</f>
        <v>15</v>
      </c>
      <c r="J219" s="266">
        <f ca="1">IFERROR(__xludf.DUMMYFUNCTION("IMPORTRANGE(""https://docs.google.com/spreadsheets/d/11923uPwbBZFjjGgGUA6NLw09EwE0CqkOc4q9oUmW1yo/edit?usp=sharing"",""อุทัยธานี!J144"")"),15)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20505</v>
      </c>
      <c r="O220" s="150">
        <f t="shared" ref="O220:O222" ca="1" si="73">IF(L220&gt;0,N220*100/L220,0)</f>
        <v>97.065088757396452</v>
      </c>
      <c r="P220" s="150">
        <f t="shared" ref="P220:P222" ca="1" si="74">IF(M220&gt;0,N220*100/M220,0)</f>
        <v>97.065088757396452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20505</v>
      </c>
      <c r="O222" s="155">
        <f t="shared" ca="1" si="73"/>
        <v>97.065088757396452</v>
      </c>
      <c r="P222" s="155">
        <f t="shared" ca="1" si="74"/>
        <v>97.065088757396452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IFERROR(__xludf.DUMMYFUNCTION("IMPORTRANGE(""https://docs.google.com/spreadsheets/d/1Yj_ptqi66GCucihVvJfMjLAmec39IyEx_6qawtMGysU/edit?usp=sharing"",""สบก!BS36"")"),21125)</f>
        <v>21125</v>
      </c>
      <c r="N224" s="168">
        <f ca="1">IFERROR(__xludf.DUMMYFUNCTION("IMPORTRANGE(""https://docs.google.com/spreadsheets/d/1Yj_ptqi66GCucihVvJfMjLAmec39IyEx_6qawtMGysU/edit?usp=sharing"",""สบก!BT36"")"),20505)</f>
        <v>20505</v>
      </c>
      <c r="O224" s="168">
        <f ca="1">IF(L224&gt;0,N224*100/L224,0)</f>
        <v>97.065088757396452</v>
      </c>
      <c r="P224" s="168">
        <f ca="1">IF(M224&gt;0,N224*100/M224,0)</f>
        <v>97.065088757396452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IFERROR(__xludf.DUMMYFUNCTION("IMPORTRANGE(""https://docs.google.com/spreadsheets/d/1Yj_ptqi66GCucihVvJfMjLAmec39IyEx_6qawtMGysU/edit?usp=sharing"",""สบก!BO36"")"),0)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IFERROR(__xludf.DUMMYFUNCTION("IMPORTRANGE(""https://docs.google.com/spreadsheets/d/1Yj_ptqi66GCucihVvJfMjLAmec39IyEx_6qawtMGysU/edit?usp=sharing"",""สบก!BP36"")"),21125)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IFERROR(__xludf.DUMMYFUNCTION("IMPORTRANGE(""https://docs.google.com/spreadsheets/d/1Yj_ptqi66GCucihVvJfMjLAmec39IyEx_6qawtMGysU/edit?usp=sharing"",""สบก!BQ36"")"),0)</f>
        <v>0</v>
      </c>
      <c r="M228" s="49"/>
      <c r="N228" s="49">
        <f ca="1">IFERROR(__xludf.DUMMYFUNCTION("IMPORTRANGE(""https://docs.google.com/spreadsheets/d/1Yj_ptqi66GCucihVvJfMjLAmec39IyEx_6qawtMGysU/edit?usp=sharing"",""สบก!BU36"")"),0)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IFERROR(__xludf.DUMMYFUNCTION("IMPORTRANGE(""https://docs.google.com/spreadsheets/d/11923uPwbBZFjjGgGUA6NLw09EwE0CqkOc4q9oUmW1yo/edit?usp=sharing"",""อุทัยธานี!I149"")"),15)</f>
        <v>15</v>
      </c>
      <c r="J229" s="266">
        <f ca="1">IFERROR(__xludf.DUMMYFUNCTION("IMPORTRANGE(""https://docs.google.com/spreadsheets/d/11923uPwbBZFjjGgGUA6NLw09EwE0CqkOc4q9oUmW1yo/edit?usp=sharing"",""อุทัยธานี!J149"")"),15)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IFERROR(__xludf.DUMMYFUNCTION("IMPORTRANGE(""https://docs.google.com/spreadsheets/d/11923uPwbBZFjjGgGUA6NLw09EwE0CqkOc4q9oUmW1yo/edit?usp=sharing"",""อุทัยธานี!J151"")"),0)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IFERROR(__xludf.DUMMYFUNCTION("IMPORTRANGE(""https://docs.google.com/spreadsheets/d/11923uPwbBZFjjGgGUA6NLw09EwE0CqkOc4q9oUmW1yo/edit?usp=sharing"",""อุทัยธานี!J152"")"),1)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IFERROR(__xludf.DUMMYFUNCTION("IMPORTRANGE(""https://docs.google.com/spreadsheets/d/11923uPwbBZFjjGgGUA6NLw09EwE0CqkOc4q9oUmW1yo/edit?usp=sharing"",""อุทัยธานี!J153"")"),1)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IFERROR(__xludf.DUMMYFUNCTION("IMPORTRANGE(""https://docs.google.com/spreadsheets/d/11923uPwbBZFjjGgGUA6NLw09EwE0CqkOc4q9oUmW1yo/edit?usp=sharing"",""อุทัยธานี!J154"")"),1)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IFERROR(__xludf.DUMMYFUNCTION("IMPORTRANGE(""https://docs.google.com/spreadsheets/d/11923uPwbBZFjjGgGUA6NLw09EwE0CqkOc4q9oUmW1yo/edit?usp=sharing"",""อุทัยธานี!I155"")"),15)</f>
        <v>15</v>
      </c>
      <c r="J235" s="188">
        <f ca="1">IFERROR(__xludf.DUMMYFUNCTION("IMPORTRANGE(""https://docs.google.com/spreadsheets/d/11923uPwbBZFjjGgGUA6NLw09EwE0CqkOc4q9oUmW1yo/edit?usp=sharing"",""อุทัยธานี!J155"")"),15)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IFERROR(__xludf.DUMMYFUNCTION("IMPORTRANGE(""https://docs.google.com/spreadsheets/d/11923uPwbBZFjjGgGUA6NLw09EwE0CqkOc4q9oUmW1yo/edit?usp=sharing"",""อุทัยธานี!J156"")"),0)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IFERROR(__xludf.DUMMYFUNCTION("IMPORTRANGE(""https://docs.google.com/spreadsheets/d/11923uPwbBZFjjGgGUA6NLw09EwE0CqkOc4q9oUmW1yo/edit?usp=sharing"",""อุทัยธานี!J157"")"),0)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IFERROR(__xludf.DUMMYFUNCTION("IMPORTRANGE(""https://docs.google.com/spreadsheets/d/11923uPwbBZFjjGgGUA6NLw09EwE0CqkOc4q9oUmW1yo/edit?usp=sharing"",""อุทัยธานี!I158"")"),0)</f>
        <v>0</v>
      </c>
      <c r="J238" s="266">
        <f ca="1">IFERROR(__xludf.DUMMYFUNCTION("IMPORTRANGE(""https://docs.google.com/spreadsheets/d/11923uPwbBZFjjGgGUA6NLw09EwE0CqkOc4q9oUmW1yo/edit?usp=sharing"",""อุทัยธานี!J158"")"),0)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IFERROR(__xludf.DUMMYFUNCTION("IMPORTRANGE(""https://docs.google.com/spreadsheets/d/11923uPwbBZFjjGgGUA6NLw09EwE0CqkOc4q9oUmW1yo/edit?usp=sharing"",""อุทัยธานี!J159"")"),"")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IFERROR(__xludf.DUMMYFUNCTION("IMPORTRANGE(""https://docs.google.com/spreadsheets/d/11923uPwbBZFjjGgGUA6NLw09EwE0CqkOc4q9oUmW1yo/edit?usp=sharing"",""อุทัยธานี!J161"")"),0)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IFERROR(__xludf.DUMMYFUNCTION("IMPORTRANGE(""https://docs.google.com/spreadsheets/d/11923uPwbBZFjjGgGUA6NLw09EwE0CqkOc4q9oUmW1yo/edit?usp=sharing"",""อุทัยธานี!J162"")"),0)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IFERROR(__xludf.DUMMYFUNCTION("IMPORTRANGE(""https://docs.google.com/spreadsheets/d/11923uPwbBZFjjGgGUA6NLw09EwE0CqkOc4q9oUmW1yo/edit?usp=sharing"",""อุทัยธานี!J163"")"),0)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IFERROR(__xludf.DUMMYFUNCTION("IMPORTRANGE(""https://docs.google.com/spreadsheets/d/11923uPwbBZFjjGgGUA6NLw09EwE0CqkOc4q9oUmW1yo/edit?usp=sharing"",""อุทัยธานี!I164"")"),0)</f>
        <v>0</v>
      </c>
      <c r="J244" s="187">
        <f ca="1">IFERROR(__xludf.DUMMYFUNCTION("IMPORTRANGE(""https://docs.google.com/spreadsheets/d/11923uPwbBZFjjGgGUA6NLw09EwE0CqkOc4q9oUmW1yo/edit?usp=sharing"",""อุทัยธานี!J164"")"),0)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IFERROR(__xludf.DUMMYFUNCTION("IMPORTRANGE(""https://docs.google.com/spreadsheets/d/11923uPwbBZFjjGgGUA6NLw09EwE0CqkOc4q9oUmW1yo/edit?usp=sharing"",""อุทัยธานี!J165"")"),0)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IFERROR(__xludf.DUMMYFUNCTION("IMPORTRANGE(""https://docs.google.com/spreadsheets/d/11923uPwbBZFjjGgGUA6NLw09EwE0CqkOc4q9oUmW1yo/edit?usp=sharing"",""อุทัยธานี!J166"")"),0)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IFERROR(__xludf.DUMMYFUNCTION("IMPORTRANGE(""https://docs.google.com/spreadsheets/d/11923uPwbBZFjjGgGUA6NLw09EwE0CqkOc4q9oUmW1yo/edit?usp=sharing"",""อุทัยธานี!I169"")"),20)</f>
        <v>20</v>
      </c>
      <c r="J249" s="314">
        <f ca="1">IFERROR(__xludf.DUMMYFUNCTION("IMPORTRANGE(""https://docs.google.com/spreadsheets/d/11923uPwbBZFjjGgGUA6NLw09EwE0CqkOc4q9oUmW1yo/edit?usp=sharing"",""อุทัยธานี!J169"")"),0)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203400</v>
      </c>
      <c r="M250" s="151">
        <f t="shared" ca="1" si="77"/>
        <v>103000</v>
      </c>
      <c r="N250" s="151">
        <f t="shared" ca="1" si="77"/>
        <v>81363</v>
      </c>
      <c r="O250" s="150">
        <f t="shared" ref="O250:O252" ca="1" si="78">IF(L250&gt;0,N250*100/L250,0)</f>
        <v>40.001474926253685</v>
      </c>
      <c r="P250" s="150">
        <f t="shared" ref="P250:P252" ca="1" si="79">IF(M250&gt;0,N250*100/M250,0)</f>
        <v>78.993203883495141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203400</v>
      </c>
      <c r="M252" s="87">
        <f t="shared" ca="1" si="81"/>
        <v>103000</v>
      </c>
      <c r="N252" s="87">
        <f t="shared" ca="1" si="81"/>
        <v>81363</v>
      </c>
      <c r="O252" s="155">
        <f t="shared" ca="1" si="78"/>
        <v>40.001474926253685</v>
      </c>
      <c r="P252" s="155">
        <f t="shared" ca="1" si="79"/>
        <v>78.993203883495141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IFERROR(__xludf.DUMMYFUNCTION("IMPORTRANGE(""https://docs.google.com/spreadsheets/d/1Yj_ptqi66GCucihVvJfMjLAmec39IyEx_6qawtMGysU/edit?usp=sharing"",""สบก!CB36"")"),103000)</f>
        <v>103000</v>
      </c>
      <c r="N254" s="168">
        <f ca="1">IFERROR(__xludf.DUMMYFUNCTION("IMPORTRANGE(""https://docs.google.com/spreadsheets/d/1Yj_ptqi66GCucihVvJfMjLAmec39IyEx_6qawtMGysU/edit?usp=sharing"",""สบก!CC36"")"),81363)</f>
        <v>81363</v>
      </c>
      <c r="O254" s="168">
        <f ca="1">IF(L254&gt;0,N254*100/L254,0)</f>
        <v>40.001474926253685</v>
      </c>
      <c r="P254" s="168">
        <f ca="1">IF(M254&gt;0,N254*100/M254,0)</f>
        <v>78.993203883495141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IFERROR(__xludf.DUMMYFUNCTION("IMPORTRANGE(""https://docs.google.com/spreadsheets/d/1Yj_ptqi66GCucihVvJfMjLAmec39IyEx_6qawtMGysU/edit?usp=sharing"",""สบก!BX36"")"),132000)</f>
        <v>132000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IFERROR(__xludf.DUMMYFUNCTION("IMPORTRANGE(""https://docs.google.com/spreadsheets/d/1Yj_ptqi66GCucihVvJfMjLAmec39IyEx_6qawtMGysU/edit?usp=sharing"",""สบก!BY36"")"),71400)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IFERROR(__xludf.DUMMYFUNCTION("IMPORTRANGE(""https://docs.google.com/spreadsheets/d/1Yj_ptqi66GCucihVvJfMjLAmec39IyEx_6qawtMGysU/edit?usp=sharing"",""สบก!BZ36"")"),0)</f>
        <v>0</v>
      </c>
      <c r="M258" s="49"/>
      <c r="N258" s="49">
        <f ca="1">IFERROR(__xludf.DUMMYFUNCTION("IMPORTRANGE(""https://docs.google.com/spreadsheets/d/1Yj_ptqi66GCucihVvJfMjLAmec39IyEx_6qawtMGysU/edit?usp=sharing"",""สบก!CD36"")"),0)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IFERROR(__xludf.DUMMYFUNCTION("IMPORTRANGE(""https://docs.google.com/spreadsheets/d/11923uPwbBZFjjGgGUA6NLw09EwE0CqkOc4q9oUmW1yo/edit?usp=sharing"",""อุทัยธานี!J175"")"),0)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IFERROR(__xludf.DUMMYFUNCTION("IMPORTRANGE(""https://docs.google.com/spreadsheets/d/11923uPwbBZFjjGgGUA6NLw09EwE0CqkOc4q9oUmW1yo/edit?usp=sharing"",""อุทัยธานี!J176"")"),1)</f>
        <v>1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IFERROR(__xludf.DUMMYFUNCTION("IMPORTRANGE(""https://docs.google.com/spreadsheets/d/11923uPwbBZFjjGgGUA6NLw09EwE0CqkOc4q9oUmW1yo/edit?usp=sharing"",""อุทัยธานี!J177"")"),0)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IFERROR(__xludf.DUMMYFUNCTION("IMPORTRANGE(""https://docs.google.com/spreadsheets/d/11923uPwbBZFjjGgGUA6NLw09EwE0CqkOc4q9oUmW1yo/edit?usp=sharing"",""อุทัยธานี!J178"")"),0)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IFERROR(__xludf.DUMMYFUNCTION("IMPORTRANGE(""https://docs.google.com/spreadsheets/d/11923uPwbBZFjjGgGUA6NLw09EwE0CqkOc4q9oUmW1yo/edit?usp=sharing"",""อุทัยธานี!I179"")"),1)</f>
        <v>1</v>
      </c>
      <c r="J264" s="188">
        <f ca="1">IFERROR(__xludf.DUMMYFUNCTION("IMPORTRANGE(""https://docs.google.com/spreadsheets/d/11923uPwbBZFjjGgGUA6NLw09EwE0CqkOc4q9oUmW1yo/edit?usp=sharing"",""อุทัยธานี!J179"")"),0)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IFERROR(__xludf.DUMMYFUNCTION("IMPORTRANGE(""https://docs.google.com/spreadsheets/d/11923uPwbBZFjjGgGUA6NLw09EwE0CqkOc4q9oUmW1yo/edit?usp=sharing"",""อุทัยธานี!I180"")"),20)</f>
        <v>20</v>
      </c>
      <c r="J265" s="188">
        <f ca="1">IFERROR(__xludf.DUMMYFUNCTION("IMPORTRANGE(""https://docs.google.com/spreadsheets/d/11923uPwbBZFjjGgGUA6NLw09EwE0CqkOc4q9oUmW1yo/edit?usp=sharing"",""อุทัยธานี!J180"")"),0)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IFERROR(__xludf.DUMMYFUNCTION("IMPORTRANGE(""https://docs.google.com/spreadsheets/d/11923uPwbBZFjjGgGUA6NLw09EwE0CqkOc4q9oUmW1yo/edit?usp=sharing"",""อุทัยธานี!I181"")"),20)</f>
        <v>20</v>
      </c>
      <c r="J266" s="188">
        <f ca="1">IFERROR(__xludf.DUMMYFUNCTION("IMPORTRANGE(""https://docs.google.com/spreadsheets/d/11923uPwbBZFjjGgGUA6NLw09EwE0CqkOc4q9oUmW1yo/edit?usp=sharing"",""อุทัยธานี!J181"")"),0)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IFERROR(__xludf.DUMMYFUNCTION("IMPORTRANGE(""https://docs.google.com/spreadsheets/d/11923uPwbBZFjjGgGUA6NLw09EwE0CqkOc4q9oUmW1yo/edit?usp=sharing"",""อุทัยธานี!I182"")"),1)</f>
        <v>1</v>
      </c>
      <c r="J267" s="188">
        <f ca="1">IFERROR(__xludf.DUMMYFUNCTION("IMPORTRANGE(""https://docs.google.com/spreadsheets/d/11923uPwbBZFjjGgGUA6NLw09EwE0CqkOc4q9oUmW1yo/edit?usp=sharing"",""อุทัยธานี!J182"")"),0)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IFERROR(__xludf.DUMMYFUNCTION("IMPORTRANGE(""https://docs.google.com/spreadsheets/d/11923uPwbBZFjjGgGUA6NLw09EwE0CqkOc4q9oUmW1yo/edit?usp=sharing"",""อุทัยธานี!J183"")"),0)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IFERROR(__xludf.DUMMYFUNCTION("IMPORTRANGE(""https://docs.google.com/spreadsheets/d/11923uPwbBZFjjGgGUA6NLw09EwE0CqkOc4q9oUmW1yo/edit?usp=sharing"",""อุทัยธานี!J184"")"),0)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IFERROR(__xludf.DUMMYFUNCTION("IMPORTRANGE(""https://docs.google.com/spreadsheets/d/11923uPwbBZFjjGgGUA6NLw09EwE0CqkOc4q9oUmW1yo/edit?usp=sharing"",""อุทัยธานี!I185"")"),20)</f>
        <v>20</v>
      </c>
      <c r="J270" s="314">
        <f ca="1">IFERROR(__xludf.DUMMYFUNCTION("IMPORTRANGE(""https://docs.google.com/spreadsheets/d/11923uPwbBZFjjGgGUA6NLw09EwE0CqkOc4q9oUmW1yo/edit?usp=sharing"",""อุทัยธานี!J185"")"),20)</f>
        <v>20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183600</v>
      </c>
      <c r="M271" s="151">
        <f t="shared" ca="1" si="83"/>
        <v>93000</v>
      </c>
      <c r="N271" s="151">
        <f t="shared" ca="1" si="83"/>
        <v>110579</v>
      </c>
      <c r="O271" s="150">
        <f t="shared" ref="O271:O273" ca="1" si="84">IF(L271&gt;0,N271*100/L271,0)</f>
        <v>60.22821350762527</v>
      </c>
      <c r="P271" s="150">
        <f t="shared" ref="P271:P273" ca="1" si="85">IF(M271&gt;0,N271*100/M271,0)</f>
        <v>118.90215053763441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183600</v>
      </c>
      <c r="M273" s="87">
        <f t="shared" ca="1" si="87"/>
        <v>93000</v>
      </c>
      <c r="N273" s="87">
        <f t="shared" ca="1" si="87"/>
        <v>110579</v>
      </c>
      <c r="O273" s="155">
        <f t="shared" ca="1" si="84"/>
        <v>60.22821350762527</v>
      </c>
      <c r="P273" s="155">
        <f t="shared" ca="1" si="85"/>
        <v>118.90215053763441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IFERROR(__xludf.DUMMYFUNCTION("IMPORTRANGE(""https://docs.google.com/spreadsheets/d/1Yj_ptqi66GCucihVvJfMjLAmec39IyEx_6qawtMGysU/edit?usp=sharing"",""สบก!CK36"")"),93000)</f>
        <v>93000</v>
      </c>
      <c r="N275" s="168">
        <f ca="1">IFERROR(__xludf.DUMMYFUNCTION("IMPORTRANGE(""https://docs.google.com/spreadsheets/d/1Yj_ptqi66GCucihVvJfMjLAmec39IyEx_6qawtMGysU/edit?usp=sharing"",""สบก!CL36"")"),110579)</f>
        <v>110579</v>
      </c>
      <c r="O275" s="168">
        <f ca="1">IF(L275&gt;0,N275*100/L275,0)</f>
        <v>60.22821350762527</v>
      </c>
      <c r="P275" s="168">
        <f ca="1">IF(M275&gt;0,N275*100/M275,0)</f>
        <v>118.90215053763441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IFERROR(__xludf.DUMMYFUNCTION("IMPORTRANGE(""https://docs.google.com/spreadsheets/d/1Yj_ptqi66GCucihVvJfMjLAmec39IyEx_6qawtMGysU/edit?usp=sharing"",""สบก!CG36"")"),0)</f>
        <v>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IFERROR(__xludf.DUMMYFUNCTION("IMPORTRANGE(""https://docs.google.com/spreadsheets/d/1Yj_ptqi66GCucihVvJfMjLAmec39IyEx_6qawtMGysU/edit?usp=sharing"",""สบก!CH36"")"),183600)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IFERROR(__xludf.DUMMYFUNCTION("IMPORTRANGE(""https://docs.google.com/spreadsheets/d/1Yj_ptqi66GCucihVvJfMjLAmec39IyEx_6qawtMGysU/edit?usp=sharing"",""สบก!CI36"")"),0)</f>
        <v>0</v>
      </c>
      <c r="M279" s="49"/>
      <c r="N279" s="49">
        <f ca="1">IFERROR(__xludf.DUMMYFUNCTION("IMPORTRANGE(""https://docs.google.com/spreadsheets/d/1Yj_ptqi66GCucihVvJfMjLAmec39IyEx_6qawtMGysU/edit?usp=sharing"",""สบก!CM36"")"),0)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IFERROR(__xludf.DUMMYFUNCTION("IMPORTRANGE(""https://docs.google.com/spreadsheets/d/11923uPwbBZFjjGgGUA6NLw09EwE0CqkOc4q9oUmW1yo/edit?usp=sharing"",""อุทัยธานี!J191"")"),0)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IFERROR(__xludf.DUMMYFUNCTION("IMPORTRANGE(""https://docs.google.com/spreadsheets/d/11923uPwbBZFjjGgGUA6NLw09EwE0CqkOc4q9oUmW1yo/edit?usp=sharing"",""อุทัยธานี!J192"")"),1)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IFERROR(__xludf.DUMMYFUNCTION("IMPORTRANGE(""https://docs.google.com/spreadsheets/d/11923uPwbBZFjjGgGUA6NLw09EwE0CqkOc4q9oUmW1yo/edit?usp=sharing"",""อุทัยธานี!J193"")"),0)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IFERROR(__xludf.DUMMYFUNCTION("IMPORTRANGE(""https://docs.google.com/spreadsheets/d/11923uPwbBZFjjGgGUA6NLw09EwE0CqkOc4q9oUmW1yo/edit?usp=sharing"",""อุทัยธานี!J194"")"),0)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IFERROR(__xludf.DUMMYFUNCTION("IMPORTRANGE(""https://docs.google.com/spreadsheets/d/11923uPwbBZFjjGgGUA6NLw09EwE0CqkOc4q9oUmW1yo/edit?usp=sharing"",""อุทัยธานี!I195"")"),20)</f>
        <v>20</v>
      </c>
      <c r="J285" s="188">
        <f ca="1">IFERROR(__xludf.DUMMYFUNCTION("IMPORTRANGE(""https://docs.google.com/spreadsheets/d/11923uPwbBZFjjGgGUA6NLw09EwE0CqkOc4q9oUmW1yo/edit?usp=sharing"",""อุทัยธานี!J195"")"),20)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IFERROR(__xludf.DUMMYFUNCTION("IMPORTRANGE(""https://docs.google.com/spreadsheets/d/11923uPwbBZFjjGgGUA6NLw09EwE0CqkOc4q9oUmW1yo/edit?usp=sharing"",""อุทัยธานี!J196"")"),0)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IFERROR(__xludf.DUMMYFUNCTION("IMPORTRANGE(""https://docs.google.com/spreadsheets/d/11923uPwbBZFjjGgGUA6NLw09EwE0CqkOc4q9oUmW1yo/edit?usp=sharing"",""อุทัยธานี!J197"")"),0)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IFERROR(__xludf.DUMMYFUNCTION("IMPORTRANGE(""https://docs.google.com/spreadsheets/d/11923uPwbBZFjjGgGUA6NLw09EwE0CqkOc4q9oUmW1yo/edit?usp=sharing"",""อุทัยธานี!I199"")"),40)</f>
        <v>40</v>
      </c>
      <c r="J289" s="314">
        <f ca="1">IFERROR(__xludf.DUMMYFUNCTION("IMPORTRANGE(""https://docs.google.com/spreadsheets/d/11923uPwbBZFjjGgGUA6NLw09EwE0CqkOc4q9oUmW1yo/edit?usp=sharing"",""อุทัยธานี!J199"")"),0)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120760</v>
      </c>
      <c r="M290" s="151">
        <f t="shared" ca="1" si="88"/>
        <v>120760</v>
      </c>
      <c r="N290" s="151">
        <f t="shared" ca="1" si="88"/>
        <v>18360</v>
      </c>
      <c r="O290" s="150">
        <f t="shared" ref="O290:O292" ca="1" si="89">IF(L290&gt;0,N290*100/L290,0)</f>
        <v>15.203709837694602</v>
      </c>
      <c r="P290" s="150">
        <f t="shared" ref="P290:P292" ca="1" si="90">IF(M290&gt;0,N290*100/M290,0)</f>
        <v>15.203709837694602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120760</v>
      </c>
      <c r="M292" s="87">
        <f t="shared" ca="1" si="92"/>
        <v>120760</v>
      </c>
      <c r="N292" s="87">
        <f t="shared" ca="1" si="92"/>
        <v>18360</v>
      </c>
      <c r="O292" s="155">
        <f t="shared" ca="1" si="89"/>
        <v>15.203709837694602</v>
      </c>
      <c r="P292" s="155">
        <f t="shared" ca="1" si="90"/>
        <v>15.203709837694602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120760</v>
      </c>
      <c r="M294" s="167">
        <f ca="1">IFERROR(__xludf.DUMMYFUNCTION("IMPORTRANGE(""https://docs.google.com/spreadsheets/d/1Yj_ptqi66GCucihVvJfMjLAmec39IyEx_6qawtMGysU/edit?usp=sharing"",""สบก!CT36"")"),120760)</f>
        <v>120760</v>
      </c>
      <c r="N294" s="168">
        <f ca="1">IFERROR(__xludf.DUMMYFUNCTION("IMPORTRANGE(""https://docs.google.com/spreadsheets/d/1Yj_ptqi66GCucihVvJfMjLAmec39IyEx_6qawtMGysU/edit?usp=sharing"",""สบก!CU36"")"),18360)</f>
        <v>18360</v>
      </c>
      <c r="O294" s="168">
        <f ca="1">IF(L294&gt;0,N294*100/L294,0)</f>
        <v>15.203709837694602</v>
      </c>
      <c r="P294" s="168">
        <f ca="1">IF(M294&gt;0,N294*100/M294,0)</f>
        <v>15.203709837694602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IFERROR(__xludf.DUMMYFUNCTION("IMPORTRANGE(""https://docs.google.com/spreadsheets/d/1Yj_ptqi66GCucihVvJfMjLAmec39IyEx_6qawtMGysU/edit?usp=sharing"",""สบก!CP36"")"),0)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IFERROR(__xludf.DUMMYFUNCTION("IMPORTRANGE(""https://docs.google.com/spreadsheets/d/1Yj_ptqi66GCucihVvJfMjLAmec39IyEx_6qawtMGysU/edit?usp=sharing"",""สบก!CQ36"")"),120760)</f>
        <v>120760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IFERROR(__xludf.DUMMYFUNCTION("IMPORTRANGE(""https://docs.google.com/spreadsheets/d/1Yj_ptqi66GCucihVvJfMjLAmec39IyEx_6qawtMGysU/edit?usp=sharing"",""สบก!CR36"")"),0)</f>
        <v>0</v>
      </c>
      <c r="M298" s="49"/>
      <c r="N298" s="49">
        <f ca="1">IFERROR(__xludf.DUMMYFUNCTION("IMPORTRANGE(""https://docs.google.com/spreadsheets/d/1Yj_ptqi66GCucihVvJfMjLAmec39IyEx_6qawtMGysU/edit?usp=sharing"",""สบก!CV36"")"),0)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IFERROR(__xludf.DUMMYFUNCTION("IMPORTRANGE(""https://docs.google.com/spreadsheets/d/11923uPwbBZFjjGgGUA6NLw09EwE0CqkOc4q9oUmW1yo/edit?usp=sharing"",""อุทัยธานี!J205"")"),0)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IFERROR(__xludf.DUMMYFUNCTION("IMPORTRANGE(""https://docs.google.com/spreadsheets/d/11923uPwbBZFjjGgGUA6NLw09EwE0CqkOc4q9oUmW1yo/edit?usp=sharing"",""อุทัยธานี!J206"")"),1)</f>
        <v>1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IFERROR(__xludf.DUMMYFUNCTION("IMPORTRANGE(""https://docs.google.com/spreadsheets/d/11923uPwbBZFjjGgGUA6NLw09EwE0CqkOc4q9oUmW1yo/edit?usp=sharing"",""อุทัยธานี!J207"")"),1)</f>
        <v>1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IFERROR(__xludf.DUMMYFUNCTION("IMPORTRANGE(""https://docs.google.com/spreadsheets/d/11923uPwbBZFjjGgGUA6NLw09EwE0CqkOc4q9oUmW1yo/edit?usp=sharing"",""อุทัยธานี!J208"")"),1)</f>
        <v>1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IFERROR(__xludf.DUMMYFUNCTION("IMPORTRANGE(""https://docs.google.com/spreadsheets/d/11923uPwbBZFjjGgGUA6NLw09EwE0CqkOc4q9oUmW1yo/edit?usp=sharing"",""อุทัยธานี!I209"")"),40)</f>
        <v>40</v>
      </c>
      <c r="J304" s="203">
        <f ca="1">IFERROR(__xludf.DUMMYFUNCTION("IMPORTRANGE(""https://docs.google.com/spreadsheets/d/11923uPwbBZFjjGgGUA6NLw09EwE0CqkOc4q9oUmW1yo/edit?usp=sharing"",""อุทัยธานี!J209"")"),0)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IFERROR(__xludf.DUMMYFUNCTION("IMPORTRANGE(""https://docs.google.com/spreadsheets/d/11923uPwbBZFjjGgGUA6NLw09EwE0CqkOc4q9oUmW1yo/edit?usp=sharing"",""อุทัยธานี!I211"")"),40)</f>
        <v>40</v>
      </c>
      <c r="J306" s="203">
        <f ca="1">IFERROR(__xludf.DUMMYFUNCTION("IMPORTRANGE(""https://docs.google.com/spreadsheets/d/11923uPwbBZFjjGgGUA6NLw09EwE0CqkOc4q9oUmW1yo/edit?usp=sharing"",""อุทัยธานี!J211"")"),0)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IFERROR(__xludf.DUMMYFUNCTION("IMPORTRANGE(""https://docs.google.com/spreadsheets/d/11923uPwbBZFjjGgGUA6NLw09EwE0CqkOc4q9oUmW1yo/edit?usp=sharing"",""อุทัยธานี!J212"")"),0)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IFERROR(__xludf.DUMMYFUNCTION("IMPORTRANGE(""https://docs.google.com/spreadsheets/d/11923uPwbBZFjjGgGUA6NLw09EwE0CqkOc4q9oUmW1yo/edit?usp=sharing"",""อุทัยธานี!J213"")"),0)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IFERROR(__xludf.DUMMYFUNCTION("IMPORTRANGE(""https://docs.google.com/spreadsheets/d/11923uPwbBZFjjGgGUA6NLw09EwE0CqkOc4q9oUmW1yo/edit?usp=sharing"",""อุทัยธานี!I214"")"),1)</f>
        <v>1</v>
      </c>
      <c r="J309" s="331">
        <f ca="1">IFERROR(__xludf.DUMMYFUNCTION("IMPORTRANGE(""https://docs.google.com/spreadsheets/d/11923uPwbBZFjjGgGUA6NLw09EwE0CqkOc4q9oUmW1yo/edit?usp=sharing"",""อุทัยธานี!J214"")"),0)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262600</v>
      </c>
      <c r="M310" s="151">
        <f t="shared" ca="1" si="93"/>
        <v>251300</v>
      </c>
      <c r="N310" s="151">
        <f t="shared" ca="1" si="93"/>
        <v>131770</v>
      </c>
      <c r="O310" s="150">
        <f t="shared" ref="O310:O312" ca="1" si="94">IF(L310&gt;0,N310*100/L310,0)</f>
        <v>50.178979436405179</v>
      </c>
      <c r="P310" s="150">
        <f t="shared" ref="P310:P312" ca="1" si="95">IF(M310&gt;0,N310*100/M310,0)</f>
        <v>52.435336251492238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262600</v>
      </c>
      <c r="M312" s="87">
        <f t="shared" ca="1" si="97"/>
        <v>251300</v>
      </c>
      <c r="N312" s="87">
        <f t="shared" ca="1" si="97"/>
        <v>131770</v>
      </c>
      <c r="O312" s="155">
        <f t="shared" ca="1" si="94"/>
        <v>50.178979436405179</v>
      </c>
      <c r="P312" s="155">
        <f t="shared" ca="1" si="95"/>
        <v>52.435336251492238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262600</v>
      </c>
      <c r="M314" s="167">
        <f ca="1">IFERROR(__xludf.DUMMYFUNCTION("IMPORTRANGE(""https://docs.google.com/spreadsheets/d/1Yj_ptqi66GCucihVvJfMjLAmec39IyEx_6qawtMGysU/edit?usp=sharing"",""สบก!DC36"")"),251300)</f>
        <v>251300</v>
      </c>
      <c r="N314" s="168">
        <f ca="1">IFERROR(__xludf.DUMMYFUNCTION("IMPORTRANGE(""https://docs.google.com/spreadsheets/d/1Yj_ptqi66GCucihVvJfMjLAmec39IyEx_6qawtMGysU/edit?usp=sharing"",""สบก!DD36"")"),131770)</f>
        <v>131770</v>
      </c>
      <c r="O314" s="168">
        <f ca="1">IF(L314&gt;0,N314*100/L314,0)</f>
        <v>50.178979436405179</v>
      </c>
      <c r="P314" s="168">
        <f ca="1">IF(M314&gt;0,N314*100/M314,0)</f>
        <v>52.435336251492238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IFERROR(__xludf.DUMMYFUNCTION("IMPORTRANGE(""https://docs.google.com/spreadsheets/d/1Yj_ptqi66GCucihVvJfMjLAmec39IyEx_6qawtMGysU/edit?usp=sharing"",""สบก!CY36"")"),0)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IFERROR(__xludf.DUMMYFUNCTION("IMPORTRANGE(""https://docs.google.com/spreadsheets/d/1Yj_ptqi66GCucihVvJfMjLAmec39IyEx_6qawtMGysU/edit?usp=sharing"",""สบก!CZ36"")"),262600)</f>
        <v>262600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IFERROR(__xludf.DUMMYFUNCTION("IMPORTRANGE(""https://docs.google.com/spreadsheets/d/1Yj_ptqi66GCucihVvJfMjLAmec39IyEx_6qawtMGysU/edit?usp=sharing"",""สบก!DA36"")"),0)</f>
        <v>0</v>
      </c>
      <c r="M318" s="49"/>
      <c r="N318" s="49">
        <f ca="1">IFERROR(__xludf.DUMMYFUNCTION("IMPORTRANGE(""https://docs.google.com/spreadsheets/d/1Yj_ptqi66GCucihVvJfMjLAmec39IyEx_6qawtMGysU/edit?usp=sharing"",""สบก!DE36"")"),0)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IFERROR(__xludf.DUMMYFUNCTION("IMPORTRANGE(""https://docs.google.com/spreadsheets/d/11923uPwbBZFjjGgGUA6NLw09EwE0CqkOc4q9oUmW1yo/edit?usp=sharing"",""อุทัยธานี!J220"")"),0)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IFERROR(__xludf.DUMMYFUNCTION("IMPORTRANGE(""https://docs.google.com/spreadsheets/d/11923uPwbBZFjjGgGUA6NLw09EwE0CqkOc4q9oUmW1yo/edit?usp=sharing"",""อุทัยธานี!J221"")"),1)</f>
        <v>1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IFERROR(__xludf.DUMMYFUNCTION("IMPORTRANGE(""https://docs.google.com/spreadsheets/d/11923uPwbBZFjjGgGUA6NLw09EwE0CqkOc4q9oUmW1yo/edit?usp=sharing"",""อุทัยธานี!J222"")"),1)</f>
        <v>1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IFERROR(__xludf.DUMMYFUNCTION("IMPORTRANGE(""https://docs.google.com/spreadsheets/d/11923uPwbBZFjjGgGUA6NLw09EwE0CqkOc4q9oUmW1yo/edit?usp=sharing"",""อุทัยธานี!J223"")"),1)</f>
        <v>1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IFERROR(__xludf.DUMMYFUNCTION("IMPORTRANGE(""https://docs.google.com/spreadsheets/d/11923uPwbBZFjjGgGUA6NLw09EwE0CqkOc4q9oUmW1yo/edit?usp=sharing"",""อุทัยธานี!I224"")"),1)</f>
        <v>1</v>
      </c>
      <c r="J324" s="203">
        <f ca="1">IFERROR(__xludf.DUMMYFUNCTION("IMPORTRANGE(""https://docs.google.com/spreadsheets/d/11923uPwbBZFjjGgGUA6NLw09EwE0CqkOc4q9oUmW1yo/edit?usp=sharing"",""อุทัยธานี!J224"")"),0)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IFERROR(__xludf.DUMMYFUNCTION("IMPORTRANGE(""https://docs.google.com/spreadsheets/d/11923uPwbBZFjjGgGUA6NLw09EwE0CqkOc4q9oUmW1yo/edit?usp=sharing"",""อุทัยธานี!J225"")"),0)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IFERROR(__xludf.DUMMYFUNCTION("IMPORTRANGE(""https://docs.google.com/spreadsheets/d/11923uPwbBZFjjGgGUA6NLw09EwE0CqkOc4q9oUmW1yo/edit?usp=sharing"",""อุทัยธานี!J226"")"),0)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IFERROR(__xludf.DUMMYFUNCTION("IMPORTRANGE(""https://docs.google.com/spreadsheets/d/11923uPwbBZFjjGgGUA6NLw09EwE0CqkOc4q9oUmW1yo/edit?usp=sharing"",""อุทัยธานี!I228"")"),215)</f>
        <v>215</v>
      </c>
      <c r="J328" s="337">
        <f ca="1">IFERROR(__xludf.DUMMYFUNCTION("IMPORTRANGE(""https://docs.google.com/spreadsheets/d/11923uPwbBZFjjGgGUA6NLw09EwE0CqkOc4q9oUmW1yo/edit?usp=sharing"",""อุทัยธานี!J228"")"),42)</f>
        <v>42</v>
      </c>
      <c r="K328" s="315">
        <f ca="1">IF(I328&gt;0,J328*100/I328,0)</f>
        <v>19.534883720930232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1055670</v>
      </c>
      <c r="M329" s="151">
        <f t="shared" ca="1" si="98"/>
        <v>632640</v>
      </c>
      <c r="N329" s="151">
        <f t="shared" ca="1" si="98"/>
        <v>520911</v>
      </c>
      <c r="O329" s="150">
        <f t="shared" ref="O329:O331" ca="1" si="99">IF(L329&gt;0,N329*100/L329,0)</f>
        <v>49.344113217198554</v>
      </c>
      <c r="P329" s="150">
        <f t="shared" ref="P329:P331" ca="1" si="100">IF(M329&gt;0,N329*100/M329,0)</f>
        <v>82.33924506828528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1055670</v>
      </c>
      <c r="M331" s="87">
        <f t="shared" ca="1" si="102"/>
        <v>632640</v>
      </c>
      <c r="N331" s="87">
        <f t="shared" ca="1" si="102"/>
        <v>520911</v>
      </c>
      <c r="O331" s="155">
        <f t="shared" ca="1" si="99"/>
        <v>49.344113217198554</v>
      </c>
      <c r="P331" s="155">
        <f t="shared" ca="1" si="100"/>
        <v>82.33924506828528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910670</v>
      </c>
      <c r="M333" s="167">
        <f ca="1">IFERROR(__xludf.DUMMYFUNCTION("IMPORTRANGE(""https://docs.google.com/spreadsheets/d/1Yj_ptqi66GCucihVvJfMjLAmec39IyEx_6qawtMGysU/edit?usp=sharing"",""สบก!DL36"")"),487640)</f>
        <v>487640</v>
      </c>
      <c r="N333" s="168">
        <f ca="1">IFERROR(__xludf.DUMMYFUNCTION("IMPORTRANGE(""https://docs.google.com/spreadsheets/d/1Yj_ptqi66GCucihVvJfMjLAmec39IyEx_6qawtMGysU/edit?usp=sharing"",""สบก!DM36"")"),375911)</f>
        <v>375911</v>
      </c>
      <c r="O333" s="168">
        <f ca="1">IF(L333&gt;0,N333*100/L333,0)</f>
        <v>41.278509229468412</v>
      </c>
      <c r="P333" s="168">
        <f ca="1">IF(M333&gt;0,N333*100/M333,0)</f>
        <v>77.087810680009838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IFERROR(__xludf.DUMMYFUNCTION("IMPORTRANGE(""https://docs.google.com/spreadsheets/d/1Yj_ptqi66GCucihVvJfMjLAmec39IyEx_6qawtMGysU/edit?usp=sharing"",""สบก!DH36"")"),500400)</f>
        <v>500400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IFERROR(__xludf.DUMMYFUNCTION("IMPORTRANGE(""https://docs.google.com/spreadsheets/d/1Yj_ptqi66GCucihVvJfMjLAmec39IyEx_6qawtMGysU/edit?usp=sharing"",""สบก!DI36"")"),410270)</f>
        <v>410270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IFERROR(__xludf.DUMMYFUNCTION("IMPORTRANGE(""https://docs.google.com/spreadsheets/d/1Yj_ptqi66GCucihVvJfMjLAmec39IyEx_6qawtMGysU/edit?usp=sharing"",""สบก!DJ36"")"),145000)</f>
        <v>145000</v>
      </c>
      <c r="M337" s="49">
        <f ca="1">L337</f>
        <v>145000</v>
      </c>
      <c r="N337" s="49">
        <f ca="1">IFERROR(__xludf.DUMMYFUNCTION("IMPORTRANGE(""https://docs.google.com/spreadsheets/d/1Yj_ptqi66GCucihVvJfMjLAmec39IyEx_6qawtMGysU/edit?usp=sharing"",""สบก!DN36"")"),145000)</f>
        <v>145000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IFERROR(__xludf.DUMMYFUNCTION("IMPORTRANGE(""https://docs.google.com/spreadsheets/d/11923uPwbBZFjjGgGUA6NLw09EwE0CqkOc4q9oUmW1yo/edit?usp=sharing"",""อุทัยธานี!I234"")"),0)</f>
        <v>0</v>
      </c>
      <c r="J339" s="187">
        <f ca="1">IFERROR(__xludf.DUMMYFUNCTION("IMPORTRANGE(""https://docs.google.com/spreadsheets/d/11923uPwbBZFjjGgGUA6NLw09EwE0CqkOc4q9oUmW1yo/edit?usp=sharing"",""อุทัยธานี!J234"")"),37)</f>
        <v>37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IFERROR(__xludf.DUMMYFUNCTION("IMPORTRANGE(""https://docs.google.com/spreadsheets/d/11923uPwbBZFjjGgGUA6NLw09EwE0CqkOc4q9oUmW1yo/edit?usp=sharing"",""อุทัยธานี!I235"")"),2000)</f>
        <v>2000</v>
      </c>
      <c r="J340" s="187">
        <f ca="1">IFERROR(__xludf.DUMMYFUNCTION("IMPORTRANGE(""https://docs.google.com/spreadsheets/d/11923uPwbBZFjjGgGUA6NLw09EwE0CqkOc4q9oUmW1yo/edit?usp=sharing"",""อุทัยธานี!J235"")"),323.41)</f>
        <v>323.41000000000003</v>
      </c>
      <c r="K340" s="340">
        <f t="shared" ca="1" si="103"/>
        <v>16.170500000000001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IFERROR(__xludf.DUMMYFUNCTION("IMPORTRANGE(""https://docs.google.com/spreadsheets/d/11923uPwbBZFjjGgGUA6NLw09EwE0CqkOc4q9oUmW1yo/edit?usp=sharing"",""อุทัยธานี!I236"")"),215)</f>
        <v>215</v>
      </c>
      <c r="J341" s="187">
        <f ca="1">IFERROR(__xludf.DUMMYFUNCTION("IMPORTRANGE(""https://docs.google.com/spreadsheets/d/11923uPwbBZFjjGgGUA6NLw09EwE0CqkOc4q9oUmW1yo/edit?usp=sharing"",""อุทัยธานี!J236"")"),76)</f>
        <v>76</v>
      </c>
      <c r="K341" s="340">
        <f t="shared" ca="1" si="103"/>
        <v>35.348837209302324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IFERROR(__xludf.DUMMYFUNCTION("IMPORTRANGE(""https://docs.google.com/spreadsheets/d/11923uPwbBZFjjGgGUA6NLw09EwE0CqkOc4q9oUmW1yo/edit?usp=sharing"",""อุทัยธานี!I237"")"),0)</f>
        <v>0</v>
      </c>
      <c r="J342" s="187">
        <f ca="1">IFERROR(__xludf.DUMMYFUNCTION("IMPORTRANGE(""https://docs.google.com/spreadsheets/d/11923uPwbBZFjjGgGUA6NLw09EwE0CqkOc4q9oUmW1yo/edit?usp=sharing"",""อุทัยธานี!J237"")"),1167.66999999999)</f>
        <v>1167.6699999999901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IFERROR(__xludf.DUMMYFUNCTION("IMPORTRANGE(""https://docs.google.com/spreadsheets/d/11923uPwbBZFjjGgGUA6NLw09EwE0CqkOc4q9oUmW1yo/edit?usp=sharing"",""อุทัยธานี!I238"")"),215)</f>
        <v>215</v>
      </c>
      <c r="J343" s="187">
        <f ca="1">IFERROR(__xludf.DUMMYFUNCTION("IMPORTRANGE(""https://docs.google.com/spreadsheets/d/11923uPwbBZFjjGgGUA6NLw09EwE0CqkOc4q9oUmW1yo/edit?usp=sharing"",""อุทัยธานี!J238"")"),29)</f>
        <v>29</v>
      </c>
      <c r="K343" s="340">
        <f t="shared" ca="1" si="103"/>
        <v>13.488372093023257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IFERROR(__xludf.DUMMYFUNCTION("IMPORTRANGE(""https://docs.google.com/spreadsheets/d/11923uPwbBZFjjGgGUA6NLw09EwE0CqkOc4q9oUmW1yo/edit?usp=sharing"",""อุทัยธานี!I239"")"),0)</f>
        <v>0</v>
      </c>
      <c r="J344" s="187">
        <f ca="1">IFERROR(__xludf.DUMMYFUNCTION("IMPORTRANGE(""https://docs.google.com/spreadsheets/d/11923uPwbBZFjjGgGUA6NLw09EwE0CqkOc4q9oUmW1yo/edit?usp=sharing"",""อุทัยธานี!J239"")"),264.31)</f>
        <v>264.31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IFERROR(__xludf.DUMMYFUNCTION("IMPORTRANGE(""https://docs.google.com/spreadsheets/d/11923uPwbBZFjjGgGUA6NLw09EwE0CqkOc4q9oUmW1yo/edit?usp=sharing"",""อุทัยธานี!I240"")"),215)</f>
        <v>215</v>
      </c>
      <c r="J345" s="187">
        <f ca="1">IFERROR(__xludf.DUMMYFUNCTION("IMPORTRANGE(""https://docs.google.com/spreadsheets/d/11923uPwbBZFjjGgGUA6NLw09EwE0CqkOc4q9oUmW1yo/edit?usp=sharing"",""อุทัยธานี!J240"")"),42)</f>
        <v>42</v>
      </c>
      <c r="K345" s="340">
        <f t="shared" ca="1" si="103"/>
        <v>19.534883720930232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IFERROR(__xludf.DUMMYFUNCTION("IMPORTRANGE(""https://docs.google.com/spreadsheets/d/11923uPwbBZFjjGgGUA6NLw09EwE0CqkOc4q9oUmW1yo/edit?usp=sharing"",""อุทัยธานี!I241"")"),0)</f>
        <v>0</v>
      </c>
      <c r="J346" s="187">
        <f ca="1">IFERROR(__xludf.DUMMYFUNCTION("IMPORTRANGE(""https://docs.google.com/spreadsheets/d/11923uPwbBZFjjGgGUA6NLw09EwE0CqkOc4q9oUmW1yo/edit?usp=sharing"",""อุทัยธานี!J241"")"),812.95)</f>
        <v>812.95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IFERROR(__xludf.DUMMYFUNCTION("IMPORTRANGE(""https://docs.google.com/spreadsheets/d/11923uPwbBZFjjGgGUA6NLw09EwE0CqkOc4q9oUmW1yo/edit?usp=sharing"",""อุทัยธานี!L242"")"),2187395)</f>
        <v>2187395</v>
      </c>
      <c r="M347" s="356"/>
      <c r="N347" s="356">
        <f ca="1">IFERROR(__xludf.DUMMYFUNCTION("IMPORTRANGE(""https://docs.google.com/spreadsheets/d/11923uPwbBZFjjGgGUA6NLw09EwE0CqkOc4q9oUmW1yo/edit?usp=sharing"",""อุทัยธานี!M242"")"),544338.33)</f>
        <v>544338.32999999996</v>
      </c>
      <c r="O347" s="356">
        <f ca="1">+IF(L347&gt;0,N347*100/L347,0)</f>
        <v>24.885232434013972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IFERROR(__xludf.DUMMYFUNCTION("IMPORTRANGE(""https://docs.google.com/spreadsheets/d/11923uPwbBZFjjGgGUA6NLw09EwE0CqkOc4q9oUmW1yo/edit?usp=sharing"",""อุทัยธานี!I244"")"),70)</f>
        <v>70</v>
      </c>
      <c r="J349" s="369">
        <f ca="1">IFERROR(__xludf.DUMMYFUNCTION("IMPORTRANGE(""https://docs.google.com/spreadsheets/d/11923uPwbBZFjjGgGUA6NLw09EwE0CqkOc4q9oUmW1yo/edit?usp=sharing"",""อุทัยธานี!J244"")"),20)</f>
        <v>20</v>
      </c>
      <c r="K349" s="370">
        <f t="shared" ref="K349:K350" ca="1" si="104">IF(I349&gt;0,J349*100/I349,0)</f>
        <v>28.571428571428573</v>
      </c>
      <c r="L349" s="371">
        <f ca="1">IFERROR(__xludf.DUMMYFUNCTION("IMPORTRANGE(""https://docs.google.com/spreadsheets/d/11923uPwbBZFjjGgGUA6NLw09EwE0CqkOc4q9oUmW1yo/edit?usp=sharing"",""อุทัยธานี!L244"")"),303160)</f>
        <v>303160</v>
      </c>
      <c r="M349" s="371"/>
      <c r="N349" s="371">
        <f ca="1">IFERROR(__xludf.DUMMYFUNCTION("IMPORTRANGE(""https://docs.google.com/spreadsheets/d/11923uPwbBZFjjGgGUA6NLw09EwE0CqkOc4q9oUmW1yo/edit?usp=sharing"",""อุทัยธานี!M244"")"),108680)</f>
        <v>108680</v>
      </c>
      <c r="O349" s="371">
        <f ca="1">+IF(L349&gt;0,N349*100/L349,0)</f>
        <v>35.849056603773583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IFERROR(__xludf.DUMMYFUNCTION("IMPORTRANGE(""https://docs.google.com/spreadsheets/d/11923uPwbBZFjjGgGUA6NLw09EwE0CqkOc4q9oUmW1yo/edit?usp=sharing"",""อุทัยธานี!I245"")"),40)</f>
        <v>40</v>
      </c>
      <c r="J350" s="369">
        <f ca="1">IFERROR(__xludf.DUMMYFUNCTION("IMPORTRANGE(""https://docs.google.com/spreadsheets/d/11923uPwbBZFjjGgGUA6NLw09EwE0CqkOc4q9oUmW1yo/edit?usp=sharing"",""อุทัยธานี!J245"")"),0)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IFERROR(__xludf.DUMMYFUNCTION("IMPORTRANGE(""https://docs.google.com/spreadsheets/d/11923uPwbBZFjjGgGUA6NLw09EwE0CqkOc4q9oUmW1yo/edit?usp=sharing"",""อุทัยธานี!L246"")"),0)</f>
        <v>0</v>
      </c>
      <c r="M351" s="164"/>
      <c r="N351" s="164">
        <f ca="1">IFERROR(__xludf.DUMMYFUNCTION("IMPORTRANGE(""https://docs.google.com/spreadsheets/d/11923uPwbBZFjjGgGUA6NLw09EwE0CqkOc4q9oUmW1yo/edit?usp=sharing"",""อุทัยธานี!M246"")"),0)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IFERROR(__xludf.DUMMYFUNCTION("IMPORTRANGE(""https://docs.google.com/spreadsheets/d/11923uPwbBZFjjGgGUA6NLw09EwE0CqkOc4q9oUmW1yo/edit?usp=sharing"",""อุทัยธานี!L247"")"),303160)</f>
        <v>303160</v>
      </c>
      <c r="M352" s="165"/>
      <c r="N352" s="164">
        <f ca="1">IFERROR(__xludf.DUMMYFUNCTION("IMPORTRANGE(""https://docs.google.com/spreadsheets/d/11923uPwbBZFjjGgGUA6NLw09EwE0CqkOc4q9oUmW1yo/edit?usp=sharing"",""อุทัยธานี!M247"")"),108680)</f>
        <v>108680</v>
      </c>
      <c r="O352" s="165">
        <f t="shared" ca="1" si="105"/>
        <v>35.849056603773583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IFERROR(__xludf.DUMMYFUNCTION("IMPORTRANGE(""https://docs.google.com/spreadsheets/d/11923uPwbBZFjjGgGUA6NLw09EwE0CqkOc4q9oUmW1yo/edit?usp=sharing"",""อุทัยธานี!L248"")"),0)</f>
        <v>0</v>
      </c>
      <c r="M353" s="168"/>
      <c r="N353" s="168">
        <f ca="1">IFERROR(__xludf.DUMMYFUNCTION("IMPORTRANGE(""https://docs.google.com/spreadsheets/d/11923uPwbBZFjjGgGUA6NLw09EwE0CqkOc4q9oUmW1yo/edit?usp=sharing"",""อุทัยธานี!M248"")"),0)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IFERROR(__xludf.DUMMYFUNCTION("IMPORTRANGE(""https://docs.google.com/spreadsheets/d/11923uPwbBZFjjGgGUA6NLw09EwE0CqkOc4q9oUmW1yo/edit?usp=sharing"",""อุทัยธานี!L249"")"),303160)</f>
        <v>303160</v>
      </c>
      <c r="M354" s="168"/>
      <c r="N354" s="167">
        <f ca="1">IFERROR(__xludf.DUMMYFUNCTION("IMPORTRANGE(""https://docs.google.com/spreadsheets/d/11923uPwbBZFjjGgGUA6NLw09EwE0CqkOc4q9oUmW1yo/edit?usp=sharing"",""อุทัยธานี!M249"")"),108680)</f>
        <v>108680</v>
      </c>
      <c r="O354" s="168">
        <f t="shared" ca="1" si="105"/>
        <v>35.849056603773583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IFERROR(__xludf.DUMMYFUNCTION("IMPORTRANGE(""https://docs.google.com/spreadsheets/d/11923uPwbBZFjjGgGUA6NLw09EwE0CqkOc4q9oUmW1yo/edit?usp=sharing"",""อุทัยธานี!M250"")"),40320)</f>
        <v>40320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IFERROR(__xludf.DUMMYFUNCTION("IMPORTRANGE(""https://docs.google.com/spreadsheets/d/11923uPwbBZFjjGgGUA6NLw09EwE0CqkOc4q9oUmW1yo/edit?usp=sharing"",""อุทัยธานี!M251"")"),0)</f>
        <v>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IFERROR(__xludf.DUMMYFUNCTION("IMPORTRANGE(""https://docs.google.com/spreadsheets/d/11923uPwbBZFjjGgGUA6NLw09EwE0CqkOc4q9oUmW1yo/edit?usp=sharing"",""อุทัยธานี!M252"")"),53580)</f>
        <v>53580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IFERROR(__xludf.DUMMYFUNCTION("IMPORTRANGE(""https://docs.google.com/spreadsheets/d/11923uPwbBZFjjGgGUA6NLw09EwE0CqkOc4q9oUmW1yo/edit?usp=sharing"",""อุทัยธานี!M253"")"),14780)</f>
        <v>14780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IFERROR(__xludf.DUMMYFUNCTION("IMPORTRANGE(""https://docs.google.com/spreadsheets/d/11923uPwbBZFjjGgGUA6NLw09EwE0CqkOc4q9oUmW1yo/edit?usp=sharing"",""อุทัยธานี!J255"")"),0)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IFERROR(__xludf.DUMMYFUNCTION("IMPORTRANGE(""https://docs.google.com/spreadsheets/d/11923uPwbBZFjjGgGUA6NLw09EwE0CqkOc4q9oUmW1yo/edit?usp=sharing"",""อุทัยธานี!J256"")"),1)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IFERROR(__xludf.DUMMYFUNCTION("IMPORTRANGE(""https://docs.google.com/spreadsheets/d/11923uPwbBZFjjGgGUA6NLw09EwE0CqkOc4q9oUmW1yo/edit?usp=sharing"",""อุทัยธานี!J257"")"),1)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IFERROR(__xludf.DUMMYFUNCTION("IMPORTRANGE(""https://docs.google.com/spreadsheets/d/11923uPwbBZFjjGgGUA6NLw09EwE0CqkOc4q9oUmW1yo/edit?usp=sharing"",""อุทัยธานี!J258"")"),1)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IFERROR(__xludf.DUMMYFUNCTION("IMPORTRANGE(""https://docs.google.com/spreadsheets/d/11923uPwbBZFjjGgGUA6NLw09EwE0CqkOc4q9oUmW1yo/edit?usp=sharing"",""อุทัยธานี!J166"")"),0)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IFERROR(__xludf.DUMMYFUNCTION("IMPORTRANGE(""https://docs.google.com/spreadsheets/d/11923uPwbBZFjjGgGUA6NLw09EwE0CqkOc4q9oUmW1yo/edit?usp=sharing"",""อุทัยธานี!J166"")"),0)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IFERROR(__xludf.DUMMYFUNCTION("IMPORTRANGE(""https://docs.google.com/spreadsheets/d/11923uPwbBZFjjGgGUA6NLw09EwE0CqkOc4q9oUmW1yo/edit?usp=sharing"",""อุทัยธานี!J166"")"),0)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IFERROR(__xludf.DUMMYFUNCTION("IMPORTRANGE(""https://docs.google.com/spreadsheets/d/11923uPwbBZFjjGgGUA6NLw09EwE0CqkOc4q9oUmW1yo/edit?usp=sharing"",""อุทัยธานี!J166"")"),0)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IFERROR(__xludf.DUMMYFUNCTION("IMPORTRANGE(""https://docs.google.com/spreadsheets/d/11923uPwbBZFjjGgGUA6NLw09EwE0CqkOc4q9oUmW1yo/edit?usp=sharing"",""อุทัยธานี!I263"")"),40)</f>
        <v>40</v>
      </c>
      <c r="J368" s="187">
        <f ca="1">IFERROR(__xludf.DUMMYFUNCTION("IMPORTRANGE(""https://docs.google.com/spreadsheets/d/11923uPwbBZFjjGgGUA6NLw09EwE0CqkOc4q9oUmW1yo/edit?usp=sharing"",""อุทัยธานี!J263"")"),0)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IFERROR(__xludf.DUMMYFUNCTION("IMPORTRANGE(""https://docs.google.com/spreadsheets/d/11923uPwbBZFjjGgGUA6NLw09EwE0CqkOc4q9oUmW1yo/edit?usp=sharing"",""อุทัยธานี!I164"")"),0)</f>
        <v>0</v>
      </c>
      <c r="J369" s="203">
        <f ca="1">IFERROR(__xludf.DUMMYFUNCTION("IMPORTRANGE(""https://docs.google.com/spreadsheets/d/11923uPwbBZFjjGgGUA6NLw09EwE0CqkOc4q9oUmW1yo/edit?usp=sharing"",""อุทัยธานี!J164"")"),0)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IFERROR(__xludf.DUMMYFUNCTION("IMPORTRANGE(""https://docs.google.com/spreadsheets/d/11923uPwbBZFjjGgGUA6NLw09EwE0CqkOc4q9oUmW1yo/edit?usp=sharing"",""อุทัยธานี!I265"")"),40)</f>
        <v>40</v>
      </c>
      <c r="J370" s="203">
        <f ca="1">IFERROR(__xludf.DUMMYFUNCTION("IMPORTRANGE(""https://docs.google.com/spreadsheets/d/11923uPwbBZFjjGgGUA6NLw09EwE0CqkOc4q9oUmW1yo/edit?usp=sharing"",""อุทัยธานี!J265"")"),40)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IFERROR(__xludf.DUMMYFUNCTION("IMPORTRANGE(""https://docs.google.com/spreadsheets/d/11923uPwbBZFjjGgGUA6NLw09EwE0CqkOc4q9oUmW1yo/edit?usp=sharing"",""อุทัยธานี!I164"")"),0)</f>
        <v>0</v>
      </c>
      <c r="J371" s="188">
        <f ca="1">IFERROR(__xludf.DUMMYFUNCTION("IMPORTRANGE(""https://docs.google.com/spreadsheets/d/11923uPwbBZFjjGgGUA6NLw09EwE0CqkOc4q9oUmW1yo/edit?usp=sharing"",""อุทัยธานี!J164"")"),0)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IFERROR(__xludf.DUMMYFUNCTION("IMPORTRANGE(""https://docs.google.com/spreadsheets/d/11923uPwbBZFjjGgGUA6NLw09EwE0CqkOc4q9oUmW1yo/edit?usp=sharing"",""อุทัยธานี!I267"")"),40)</f>
        <v>40</v>
      </c>
      <c r="J372" s="188">
        <f ca="1">IFERROR(__xludf.DUMMYFUNCTION("IMPORTRANGE(""https://docs.google.com/spreadsheets/d/11923uPwbBZFjjGgGUA6NLw09EwE0CqkOc4q9oUmW1yo/edit?usp=sharing"",""อุทัยธานี!J267"")"),0)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IFERROR(__xludf.DUMMYFUNCTION("IMPORTRANGE(""https://docs.google.com/spreadsheets/d/11923uPwbBZFjjGgGUA6NLw09EwE0CqkOc4q9oUmW1yo/edit?usp=sharing"",""อุทัยธานี!I164"")"),0)</f>
        <v>0</v>
      </c>
      <c r="J373" s="203">
        <f ca="1">IFERROR(__xludf.DUMMYFUNCTION("IMPORTRANGE(""https://docs.google.com/spreadsheets/d/11923uPwbBZFjjGgGUA6NLw09EwE0CqkOc4q9oUmW1yo/edit?usp=sharing"",""อุทัยธานี!J164"")"),0)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IFERROR(__xludf.DUMMYFUNCTION("IMPORTRANGE(""https://docs.google.com/spreadsheets/d/11923uPwbBZFjjGgGUA6NLw09EwE0CqkOc4q9oUmW1yo/edit?usp=sharing"",""อุทัยธานี!I164"")"),0)</f>
        <v>0</v>
      </c>
      <c r="J374" s="187">
        <f ca="1">IFERROR(__xludf.DUMMYFUNCTION("IMPORTRANGE(""https://docs.google.com/spreadsheets/d/11923uPwbBZFjjGgGUA6NLw09EwE0CqkOc4q9oUmW1yo/edit?usp=sharing"",""อุทัยธานี!J164"")"),0)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IFERROR(__xludf.DUMMYFUNCTION("IMPORTRANGE(""https://docs.google.com/spreadsheets/d/11923uPwbBZFjjGgGUA6NLw09EwE0CqkOc4q9oUmW1yo/edit?usp=sharing"",""อุทัยธานี!I270"")"),70)</f>
        <v>70</v>
      </c>
      <c r="J375" s="187">
        <f ca="1">IFERROR(__xludf.DUMMYFUNCTION("IMPORTRANGE(""https://docs.google.com/spreadsheets/d/11923uPwbBZFjjGgGUA6NLw09EwE0CqkOc4q9oUmW1yo/edit?usp=sharing"",""อุทัยธานี!J270"")"),20)</f>
        <v>20</v>
      </c>
      <c r="K375" s="163">
        <f t="shared" ref="K375:K377" ca="1" si="107">IF(I375&gt;0,J375*100/I375,0)</f>
        <v>28.571428571428573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IFERROR(__xludf.DUMMYFUNCTION("IMPORTRANGE(""https://docs.google.com/spreadsheets/d/11923uPwbBZFjjGgGUA6NLw09EwE0CqkOc4q9oUmW1yo/edit?usp=sharing"",""อุทัยธานี!I271"")"),20)</f>
        <v>20</v>
      </c>
      <c r="J376" s="188">
        <f ca="1">IFERROR(__xludf.DUMMYFUNCTION("IMPORTRANGE(""https://docs.google.com/spreadsheets/d/11923uPwbBZFjjGgGUA6NLw09EwE0CqkOc4q9oUmW1yo/edit?usp=sharing"",""อุทัยธานี!J271"")"),20)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IFERROR(__xludf.DUMMYFUNCTION("IMPORTRANGE(""https://docs.google.com/spreadsheets/d/11923uPwbBZFjjGgGUA6NLw09EwE0CqkOc4q9oUmW1yo/edit?usp=sharing"",""อุทัยธานี!I272"")"),50)</f>
        <v>50</v>
      </c>
      <c r="J377" s="203">
        <f ca="1">IFERROR(__xludf.DUMMYFUNCTION("IMPORTRANGE(""https://docs.google.com/spreadsheets/d/11923uPwbBZFjjGgGUA6NLw09EwE0CqkOc4q9oUmW1yo/edit?usp=sharing"",""อุทัยธานี!J272"")"),0)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IFERROR(__xludf.DUMMYFUNCTION("IMPORTRANGE(""https://docs.google.com/spreadsheets/d/11923uPwbBZFjjGgGUA6NLw09EwE0CqkOc4q9oUmW1yo/edit?usp=sharing"",""อุทัยธานี!J273"")"),0)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IFERROR(__xludf.DUMMYFUNCTION("IMPORTRANGE(""https://docs.google.com/spreadsheets/d/11923uPwbBZFjjGgGUA6NLw09EwE0CqkOc4q9oUmW1yo/edit?usp=sharing"",""อุทัยธานี!J274"")"),0)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IFERROR(__xludf.DUMMYFUNCTION("IMPORTRANGE(""https://docs.google.com/spreadsheets/d/11923uPwbBZFjjGgGUA6NLw09EwE0CqkOc4q9oUmW1yo/edit?usp=sharing"",""อุทัยธานี!I275"")"),1000)</f>
        <v>1000</v>
      </c>
      <c r="J380" s="369">
        <f ca="1">IFERROR(__xludf.DUMMYFUNCTION("IMPORTRANGE(""https://docs.google.com/spreadsheets/d/11923uPwbBZFjjGgGUA6NLw09EwE0CqkOc4q9oUmW1yo/edit?usp=sharing"",""อุทัยธานี!J275"")"),0)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IFERROR(__xludf.DUMMYFUNCTION("IMPORTRANGE(""https://docs.google.com/spreadsheets/d/11923uPwbBZFjjGgGUA6NLw09EwE0CqkOc4q9oUmW1yo/edit?usp=sharing"",""อุทัยธานี!L275"")"),1028520)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IFERROR(__xludf.DUMMYFUNCTION("IMPORTRANGE(""https://docs.google.com/spreadsheets/d/11923uPwbBZFjjGgGUA6NLw09EwE0CqkOc4q9oUmW1yo/edit?usp=sharing"",""อุทัยธานี!M275"")"),194251)</f>
        <v>194251</v>
      </c>
      <c r="O380" s="371">
        <f ca="1">+IF(L380&gt;0,N380*100/L380,0)</f>
        <v>18.886458211799479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IFERROR(__xludf.DUMMYFUNCTION("IMPORTRANGE(""https://docs.google.com/spreadsheets/d/11923uPwbBZFjjGgGUA6NLw09EwE0CqkOc4q9oUmW1yo/edit?usp=sharing"",""อุทัยธานี!I276"")"),100)</f>
        <v>100</v>
      </c>
      <c r="J381" s="369">
        <f ca="1">IFERROR(__xludf.DUMMYFUNCTION("IMPORTRANGE(""https://docs.google.com/spreadsheets/d/11923uPwbBZFjjGgGUA6NLw09EwE0CqkOc4q9oUmW1yo/edit?usp=sharing"",""อุทัยธานี!J276"")"),100)</f>
        <v>100</v>
      </c>
      <c r="K381" s="370">
        <f t="shared" ca="1" si="108"/>
        <v>100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IFERROR(__xludf.DUMMYFUNCTION("IMPORTRANGE(""https://docs.google.com/spreadsheets/d/11923uPwbBZFjjGgGUA6NLw09EwE0CqkOc4q9oUmW1yo/edit?usp=sharing"",""อุทัยธานี!L277"")"),0)</f>
        <v>0</v>
      </c>
      <c r="M382" s="164"/>
      <c r="N382" s="164">
        <f ca="1">IFERROR(__xludf.DUMMYFUNCTION("IMPORTRANGE(""https://docs.google.com/spreadsheets/d/11923uPwbBZFjjGgGUA6NLw09EwE0CqkOc4q9oUmW1yo/edit?usp=sharing"",""อุทัยธานี!M277"")"),0)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IFERROR(__xludf.DUMMYFUNCTION("IMPORTRANGE(""https://docs.google.com/spreadsheets/d/11923uPwbBZFjjGgGUA6NLw09EwE0CqkOc4q9oUmW1yo/edit?usp=sharing"",""อุทัยธานี!L278"")"),1028520)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IFERROR(__xludf.DUMMYFUNCTION("IMPORTRANGE(""https://docs.google.com/spreadsheets/d/11923uPwbBZFjjGgGUA6NLw09EwE0CqkOc4q9oUmW1yo/edit?usp=sharing"",""อุทัยธานี!M278"")"),194251)</f>
        <v>194251</v>
      </c>
      <c r="O383" s="165">
        <f t="shared" ca="1" si="109"/>
        <v>18.886458211799479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IFERROR(__xludf.DUMMYFUNCTION("IMPORTRANGE(""https://docs.google.com/spreadsheets/d/11923uPwbBZFjjGgGUA6NLw09EwE0CqkOc4q9oUmW1yo/edit?usp=sharing"",""อุทัยธานี!L279"")"),0)</f>
        <v>0</v>
      </c>
      <c r="M384" s="168"/>
      <c r="N384" s="168">
        <f ca="1">IFERROR(__xludf.DUMMYFUNCTION("IMPORTRANGE(""https://docs.google.com/spreadsheets/d/11923uPwbBZFjjGgGUA6NLw09EwE0CqkOc4q9oUmW1yo/edit?usp=sharing"",""อุทัยธานี!M279"")"),0)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IFERROR(__xludf.DUMMYFUNCTION("IMPORTRANGE(""https://docs.google.com/spreadsheets/d/11923uPwbBZFjjGgGUA6NLw09EwE0CqkOc4q9oUmW1yo/edit?usp=sharing"",""อุทัยธานี!L280"")"),1028520)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IFERROR(__xludf.DUMMYFUNCTION("IMPORTRANGE(""https://docs.google.com/spreadsheets/d/11923uPwbBZFjjGgGUA6NLw09EwE0CqkOc4q9oUmW1yo/edit?usp=sharing"",""อุทัยธานี!M280"")"),194251)</f>
        <v>194251</v>
      </c>
      <c r="O385" s="168">
        <f t="shared" ca="1" si="109"/>
        <v>18.886458211799479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IFERROR(__xludf.DUMMYFUNCTION("IMPORTRANGE(""https://docs.google.com/spreadsheets/d/11923uPwbBZFjjGgGUA6NLw09EwE0CqkOc4q9oUmW1yo/edit?usp=sharing"",""อุทัยธานี!M281"")"),125940)</f>
        <v>125940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IFERROR(__xludf.DUMMYFUNCTION("IMPORTRANGE(""https://docs.google.com/spreadsheets/d/11923uPwbBZFjjGgGUA6NLw09EwE0CqkOc4q9oUmW1yo/edit?usp=sharing"",""อุทัยธานี!M282"")"),0)</f>
        <v>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IFERROR(__xludf.DUMMYFUNCTION("IMPORTRANGE(""https://docs.google.com/spreadsheets/d/11923uPwbBZFjjGgGUA6NLw09EwE0CqkOc4q9oUmW1yo/edit?usp=sharing"",""อุทัยธานี!M283"")"),52491)</f>
        <v>52491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IFERROR(__xludf.DUMMYFUNCTION("IMPORTRANGE(""https://docs.google.com/spreadsheets/d/11923uPwbBZFjjGgGUA6NLw09EwE0CqkOc4q9oUmW1yo/edit?usp=sharing"",""อุทัยธานี!M284"")"),15820)</f>
        <v>15820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IFERROR(__xludf.DUMMYFUNCTION("IMPORTRANGE(""https://docs.google.com/spreadsheets/d/11923uPwbBZFjjGgGUA6NLw09EwE0CqkOc4q9oUmW1yo/edit?usp=sharing"",""อุทัยธานี!J286"")"),0)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IFERROR(__xludf.DUMMYFUNCTION("IMPORTRANGE(""https://docs.google.com/spreadsheets/d/11923uPwbBZFjjGgGUA6NLw09EwE0CqkOc4q9oUmW1yo/edit?usp=sharing"",""อุทัยธานี!J287"")"),1)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IFERROR(__xludf.DUMMYFUNCTION("IMPORTRANGE(""https://docs.google.com/spreadsheets/d/11923uPwbBZFjjGgGUA6NLw09EwE0CqkOc4q9oUmW1yo/edit?usp=sharing"",""อุทัยธานี!J288"")"),0)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IFERROR(__xludf.DUMMYFUNCTION("IMPORTRANGE(""https://docs.google.com/spreadsheets/d/11923uPwbBZFjjGgGUA6NLw09EwE0CqkOc4q9oUmW1yo/edit?usp=sharing"",""อุทัยธานี!J289"")"),0)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IFERROR(__xludf.DUMMYFUNCTION("IMPORTRANGE(""https://docs.google.com/spreadsheets/d/11923uPwbBZFjjGgGUA6NLw09EwE0CqkOc4q9oUmW1yo/edit?usp=sharing"",""อุทัยธานี!I291"")"),100)</f>
        <v>100</v>
      </c>
      <c r="J396" s="197">
        <f ca="1">IFERROR(__xludf.DUMMYFUNCTION("IMPORTRANGE(""https://docs.google.com/spreadsheets/d/11923uPwbBZFjjGgGUA6NLw09EwE0CqkOc4q9oUmW1yo/edit?usp=sharing"",""อุทัยธานี!J291"")"),100)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IFERROR(__xludf.DUMMYFUNCTION("IMPORTRANGE(""https://docs.google.com/spreadsheets/d/11923uPwbBZFjjGgGUA6NLw09EwE0CqkOc4q9oUmW1yo/edit?usp=sharing"",""อุทัยธานี!I292"")"),1000)</f>
        <v>1000</v>
      </c>
      <c r="J397" s="197">
        <f ca="1">IFERROR(__xludf.DUMMYFUNCTION("IMPORTRANGE(""https://docs.google.com/spreadsheets/d/11923uPwbBZFjjGgGUA6NLw09EwE0CqkOc4q9oUmW1yo/edit?usp=sharing"",""อุทัยธานี!J292"")"),0)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IFERROR(__xludf.DUMMYFUNCTION("IMPORTRANGE(""https://docs.google.com/spreadsheets/d/11923uPwbBZFjjGgGUA6NLw09EwE0CqkOc4q9oUmW1yo/edit?usp=sharing"",""อุทัยธานี!I293"")"),100)</f>
        <v>100</v>
      </c>
      <c r="J398" s="197">
        <f ca="1">IFERROR(__xludf.DUMMYFUNCTION("IMPORTRANGE(""https://docs.google.com/spreadsheets/d/11923uPwbBZFjjGgGUA6NLw09EwE0CqkOc4q9oUmW1yo/edit?usp=sharing"",""อุทัยธานี!J293"")"),0)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IFERROR(__xludf.DUMMYFUNCTION("IMPORTRANGE(""https://docs.google.com/spreadsheets/d/11923uPwbBZFjjGgGUA6NLw09EwE0CqkOc4q9oUmW1yo/edit?usp=sharing"",""อุทัยธานี!J294"")"),0)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IFERROR(__xludf.DUMMYFUNCTION("IMPORTRANGE(""https://docs.google.com/spreadsheets/d/11923uPwbBZFjjGgGUA6NLw09EwE0CqkOc4q9oUmW1yo/edit?usp=sharing"",""อุทัยธานี!J295"")"),0)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IFERROR(__xludf.DUMMYFUNCTION("IMPORTRANGE(""https://docs.google.com/spreadsheets/d/11923uPwbBZFjjGgGUA6NLw09EwE0CqkOc4q9oUmW1yo/edit?usp=sharing"",""อุทัยธานี!I296"")"),150)</f>
        <v>150</v>
      </c>
      <c r="J401" s="369">
        <f ca="1">IFERROR(__xludf.DUMMYFUNCTION("IMPORTRANGE(""https://docs.google.com/spreadsheets/d/11923uPwbBZFjjGgGUA6NLw09EwE0CqkOc4q9oUmW1yo/edit?usp=sharing"",""อุทัยธานี!J296"")"),0)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IFERROR(__xludf.DUMMYFUNCTION("IMPORTRANGE(""https://docs.google.com/spreadsheets/d/11923uPwbBZFjjGgGUA6NLw09EwE0CqkOc4q9oUmW1yo/edit?usp=sharing"",""อุทัยธานี!L296"")"),177900)</f>
        <v>177900</v>
      </c>
      <c r="M401" s="371"/>
      <c r="N401" s="371">
        <f ca="1">IFERROR(__xludf.DUMMYFUNCTION("IMPORTRANGE(""https://docs.google.com/spreadsheets/d/11923uPwbBZFjjGgGUA6NLw09EwE0CqkOc4q9oUmW1yo/edit?usp=sharing"",""อุทัยธานี!M296"")"),70110)</f>
        <v>70110</v>
      </c>
      <c r="O401" s="371">
        <f ca="1">+IF(L401&gt;0,N401*100/L401,0)</f>
        <v>39.409780775716698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IFERROR(__xludf.DUMMYFUNCTION("IMPORTRANGE(""https://docs.google.com/spreadsheets/d/11923uPwbBZFjjGgGUA6NLw09EwE0CqkOc4q9oUmW1yo/edit?usp=sharing"",""อุทัยธานี!I297"")"),50)</f>
        <v>50</v>
      </c>
      <c r="J402" s="369">
        <f ca="1">IFERROR(__xludf.DUMMYFUNCTION("IMPORTRANGE(""https://docs.google.com/spreadsheets/d/11923uPwbBZFjjGgGUA6NLw09EwE0CqkOc4q9oUmW1yo/edit?usp=sharing"",""อุทัยธานี!J297"")"),0)</f>
        <v>0</v>
      </c>
      <c r="K402" s="370">
        <f t="shared" ca="1" si="111"/>
        <v>0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IFERROR(__xludf.DUMMYFUNCTION("IMPORTRANGE(""https://docs.google.com/spreadsheets/d/11923uPwbBZFjjGgGUA6NLw09EwE0CqkOc4q9oUmW1yo/edit?usp=sharing"",""อุทัยธานี!L298"")"),0)</f>
        <v>0</v>
      </c>
      <c r="M403" s="164"/>
      <c r="N403" s="168">
        <f ca="1">IFERROR(__xludf.DUMMYFUNCTION("IMPORTRANGE(""https://docs.google.com/spreadsheets/d/11923uPwbBZFjjGgGUA6NLw09EwE0CqkOc4q9oUmW1yo/edit?usp=sharing"",""อุทัยธานี!M298"")"),0)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IFERROR(__xludf.DUMMYFUNCTION("IMPORTRANGE(""https://docs.google.com/spreadsheets/d/11923uPwbBZFjjGgGUA6NLw09EwE0CqkOc4q9oUmW1yo/edit?usp=sharing"",""อุทัยธานี!L299"")"),177900)</f>
        <v>177900</v>
      </c>
      <c r="M404" s="165"/>
      <c r="N404" s="168">
        <f ca="1">IFERROR(__xludf.DUMMYFUNCTION("IMPORTRANGE(""https://docs.google.com/spreadsheets/d/11923uPwbBZFjjGgGUA6NLw09EwE0CqkOc4q9oUmW1yo/edit?usp=sharing"",""อุทัยธานี!M299"")"),70110)</f>
        <v>70110</v>
      </c>
      <c r="O404" s="168">
        <f t="shared" ca="1" si="112"/>
        <v>39.409780775716698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IFERROR(__xludf.DUMMYFUNCTION("IMPORTRANGE(""https://docs.google.com/spreadsheets/d/11923uPwbBZFjjGgGUA6NLw09EwE0CqkOc4q9oUmW1yo/edit?usp=sharing"",""อุทัยธานี!L300"")"),0)</f>
        <v>0</v>
      </c>
      <c r="M405" s="168"/>
      <c r="N405" s="168">
        <f ca="1">IFERROR(__xludf.DUMMYFUNCTION("IMPORTRANGE(""https://docs.google.com/spreadsheets/d/11923uPwbBZFjjGgGUA6NLw09EwE0CqkOc4q9oUmW1yo/edit?usp=sharing"",""อุทัยธานี!M300"")"),0)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IFERROR(__xludf.DUMMYFUNCTION("IMPORTRANGE(""https://docs.google.com/spreadsheets/d/11923uPwbBZFjjGgGUA6NLw09EwE0CqkOc4q9oUmW1yo/edit?usp=sharing"",""อุทัยธานี!L301"")"),177900)</f>
        <v>177900</v>
      </c>
      <c r="M406" s="168"/>
      <c r="N406" s="168">
        <f ca="1">IFERROR(__xludf.DUMMYFUNCTION("IMPORTRANGE(""https://docs.google.com/spreadsheets/d/11923uPwbBZFjjGgGUA6NLw09EwE0CqkOc4q9oUmW1yo/edit?usp=sharing"",""อุทัยธานี!M301"")"),70110)</f>
        <v>70110</v>
      </c>
      <c r="O406" s="168">
        <f t="shared" ca="1" si="112"/>
        <v>39.409780775716698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IFERROR(__xludf.DUMMYFUNCTION("IMPORTRANGE(""https://docs.google.com/spreadsheets/d/11923uPwbBZFjjGgGUA6NLw09EwE0CqkOc4q9oUmW1yo/edit?usp=sharing"",""อุทัยธานี!M302"")"),57050)</f>
        <v>57050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IFERROR(__xludf.DUMMYFUNCTION("IMPORTRANGE(""https://docs.google.com/spreadsheets/d/11923uPwbBZFjjGgGUA6NLw09EwE0CqkOc4q9oUmW1yo/edit?usp=sharing"",""อุทัยธานี!M303"")"),0)</f>
        <v>0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IFERROR(__xludf.DUMMYFUNCTION("IMPORTRANGE(""https://docs.google.com/spreadsheets/d/11923uPwbBZFjjGgGUA6NLw09EwE0CqkOc4q9oUmW1yo/edit?usp=sharing"",""อุทัยธานี!M304"")"),0)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IFERROR(__xludf.DUMMYFUNCTION("IMPORTRANGE(""https://docs.google.com/spreadsheets/d/11923uPwbBZFjjGgGUA6NLw09EwE0CqkOc4q9oUmW1yo/edit?usp=sharing"",""อุทัยธานี!M305"")"),13060)</f>
        <v>13060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IFERROR(__xludf.DUMMYFUNCTION("IMPORTRANGE(""https://docs.google.com/spreadsheets/d/11923uPwbBZFjjGgGUA6NLw09EwE0CqkOc4q9oUmW1yo/edit?usp=sharing"",""อุทัยธานี!J307"")"),0)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IFERROR(__xludf.DUMMYFUNCTION("IMPORTRANGE(""https://docs.google.com/spreadsheets/d/11923uPwbBZFjjGgGUA6NLw09EwE0CqkOc4q9oUmW1yo/edit?usp=sharing"",""อุทัยธานี!J308"")"),1)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IFERROR(__xludf.DUMMYFUNCTION("IMPORTRANGE(""https://docs.google.com/spreadsheets/d/11923uPwbBZFjjGgGUA6NLw09EwE0CqkOc4q9oUmW1yo/edit?usp=sharing"",""อุทัยธานี!J309"")"),0)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IFERROR(__xludf.DUMMYFUNCTION("IMPORTRANGE(""https://docs.google.com/spreadsheets/d/11923uPwbBZFjjGgGUA6NLw09EwE0CqkOc4q9oUmW1yo/edit?usp=sharing"",""อุทัยธานี!J310"")"),0)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IFERROR(__xludf.DUMMYFUNCTION("IMPORTRANGE(""https://docs.google.com/spreadsheets/d/11923uPwbBZFjjGgGUA6NLw09EwE0CqkOc4q9oUmW1yo/edit?usp=sharing"",""อุทัยธานี!I311"")"),50)</f>
        <v>50</v>
      </c>
      <c r="J416" s="200">
        <f ca="1">IFERROR(__xludf.DUMMYFUNCTION("IMPORTRANGE(""https://docs.google.com/spreadsheets/d/11923uPwbBZFjjGgGUA6NLw09EwE0CqkOc4q9oUmW1yo/edit?usp=sharing"",""อุทัยธานี!J311"")"),0)</f>
        <v>0</v>
      </c>
      <c r="K416" s="201">
        <f t="shared" ref="K416:K432" ca="1" si="113">IF(I416&gt;0,J416*100/I416,0)</f>
        <v>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IFERROR(__xludf.DUMMYFUNCTION("IMPORTRANGE(""https://docs.google.com/spreadsheets/d/11923uPwbBZFjjGgGUA6NLw09EwE0CqkOc4q9oUmW1yo/edit?usp=sharing"",""อุทัยธานี!I312"")"),20)</f>
        <v>20</v>
      </c>
      <c r="J417" s="390">
        <f ca="1">IFERROR(__xludf.DUMMYFUNCTION("IMPORTRANGE(""https://docs.google.com/spreadsheets/d/11923uPwbBZFjjGgGUA6NLw09EwE0CqkOc4q9oUmW1yo/edit?usp=sharing"",""อุทัยธานี!J312"")"),0)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IFERROR(__xludf.DUMMYFUNCTION("IMPORTRANGE(""https://docs.google.com/spreadsheets/d/11923uPwbBZFjjGgGUA6NLw09EwE0CqkOc4q9oUmW1yo/edit?usp=sharing"",""อุทัยธานี!I313"")"),60)</f>
        <v>60</v>
      </c>
      <c r="J418" s="391">
        <f ca="1">IFERROR(__xludf.DUMMYFUNCTION("IMPORTRANGE(""https://docs.google.com/spreadsheets/d/11923uPwbBZFjjGgGUA6NLw09EwE0CqkOc4q9oUmW1yo/edit?usp=sharing"",""อุทัยธานี!J313"")"),0)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IFERROR(__xludf.DUMMYFUNCTION("IMPORTRANGE(""https://docs.google.com/spreadsheets/d/11923uPwbBZFjjGgGUA6NLw09EwE0CqkOc4q9oUmW1yo/edit?usp=sharing"",""อุทัยธานี!I314"")"),20)</f>
        <v>20</v>
      </c>
      <c r="J419" s="392">
        <f ca="1">IFERROR(__xludf.DUMMYFUNCTION("IMPORTRANGE(""https://docs.google.com/spreadsheets/d/11923uPwbBZFjjGgGUA6NLw09EwE0CqkOc4q9oUmW1yo/edit?usp=sharing"",""อุทัยธานี!J314"")"),0)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IFERROR(__xludf.DUMMYFUNCTION("IMPORTRANGE(""https://docs.google.com/spreadsheets/d/11923uPwbBZFjjGgGUA6NLw09EwE0CqkOc4q9oUmW1yo/edit?usp=sharing"",""อุทัยธานี!I315"")"),20)</f>
        <v>20</v>
      </c>
      <c r="J420" s="392">
        <f ca="1">IFERROR(__xludf.DUMMYFUNCTION("IMPORTRANGE(""https://docs.google.com/spreadsheets/d/11923uPwbBZFjjGgGUA6NLw09EwE0CqkOc4q9oUmW1yo/edit?usp=sharing"",""อุทัยธานี!J315"")"),20)</f>
        <v>20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IFERROR(__xludf.DUMMYFUNCTION("IMPORTRANGE(""https://docs.google.com/spreadsheets/d/11923uPwbBZFjjGgGUA6NLw09EwE0CqkOc4q9oUmW1yo/edit?usp=sharing"",""อุทัยธานี!I316"")"),20)</f>
        <v>20</v>
      </c>
      <c r="J421" s="390">
        <f ca="1">IFERROR(__xludf.DUMMYFUNCTION("IMPORTRANGE(""https://docs.google.com/spreadsheets/d/11923uPwbBZFjjGgGUA6NLw09EwE0CqkOc4q9oUmW1yo/edit?usp=sharing"",""อุทัยธานี!J316"")"),0)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IFERROR(__xludf.DUMMYFUNCTION("IMPORTRANGE(""https://docs.google.com/spreadsheets/d/11923uPwbBZFjjGgGUA6NLw09EwE0CqkOc4q9oUmW1yo/edit?usp=sharing"",""อุทัยธานี!I317"")"),60)</f>
        <v>60</v>
      </c>
      <c r="J422" s="391">
        <f ca="1">IFERROR(__xludf.DUMMYFUNCTION("IMPORTRANGE(""https://docs.google.com/spreadsheets/d/11923uPwbBZFjjGgGUA6NLw09EwE0CqkOc4q9oUmW1yo/edit?usp=sharing"",""อุทัยธานี!J317"")"),0)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IFERROR(__xludf.DUMMYFUNCTION("IMPORTRANGE(""https://docs.google.com/spreadsheets/d/11923uPwbBZFjjGgGUA6NLw09EwE0CqkOc4q9oUmW1yo/edit?usp=sharing"",""อุทัยธานี!I318"")"),20)</f>
        <v>20</v>
      </c>
      <c r="J423" s="392">
        <f ca="1">IFERROR(__xludf.DUMMYFUNCTION("IMPORTRANGE(""https://docs.google.com/spreadsheets/d/11923uPwbBZFjjGgGUA6NLw09EwE0CqkOc4q9oUmW1yo/edit?usp=sharing"",""อุทัยธานี!J318"")"),20)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IFERROR(__xludf.DUMMYFUNCTION("IMPORTRANGE(""https://docs.google.com/spreadsheets/d/11923uPwbBZFjjGgGUA6NLw09EwE0CqkOc4q9oUmW1yo/edit?usp=sharing"",""อุทัยธานี!I319"")"),20)</f>
        <v>20</v>
      </c>
      <c r="J424" s="392">
        <f ca="1">IFERROR(__xludf.DUMMYFUNCTION("IMPORTRANGE(""https://docs.google.com/spreadsheets/d/11923uPwbBZFjjGgGUA6NLw09EwE0CqkOc4q9oUmW1yo/edit?usp=sharing"",""อุทัยธานี!J319"")"),0)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IFERROR(__xludf.DUMMYFUNCTION("IMPORTRANGE(""https://docs.google.com/spreadsheets/d/11923uPwbBZFjjGgGUA6NLw09EwE0CqkOc4q9oUmW1yo/edit?usp=sharing"",""อุทัยธานี!I320"")"),20)</f>
        <v>20</v>
      </c>
      <c r="J425" s="392">
        <f ca="1">IFERROR(__xludf.DUMMYFUNCTION("IMPORTRANGE(""https://docs.google.com/spreadsheets/d/11923uPwbBZFjjGgGUA6NLw09EwE0CqkOc4q9oUmW1yo/edit?usp=sharing"",""อุทัยธานี!J320"")"),0)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IFERROR(__xludf.DUMMYFUNCTION("IMPORTRANGE(""https://docs.google.com/spreadsheets/d/11923uPwbBZFjjGgGUA6NLw09EwE0CqkOc4q9oUmW1yo/edit?usp=sharing"",""อุทัยธานี!I321"")"),10)</f>
        <v>10</v>
      </c>
      <c r="J426" s="390">
        <f ca="1">IFERROR(__xludf.DUMMYFUNCTION("IMPORTRANGE(""https://docs.google.com/spreadsheets/d/11923uPwbBZFjjGgGUA6NLw09EwE0CqkOc4q9oUmW1yo/edit?usp=sharing"",""อุทัยธานี!J321"")"),0)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IFERROR(__xludf.DUMMYFUNCTION("IMPORTRANGE(""https://docs.google.com/spreadsheets/d/11923uPwbBZFjjGgGUA6NLw09EwE0CqkOc4q9oUmW1yo/edit?usp=sharing"",""อุทัยธานี!I322"")"),30)</f>
        <v>30</v>
      </c>
      <c r="J427" s="391">
        <f ca="1">IFERROR(__xludf.DUMMYFUNCTION("IMPORTRANGE(""https://docs.google.com/spreadsheets/d/11923uPwbBZFjjGgGUA6NLw09EwE0CqkOc4q9oUmW1yo/edit?usp=sharing"",""อุทัยธานี!J322"")"),0)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IFERROR(__xludf.DUMMYFUNCTION("IMPORTRANGE(""https://docs.google.com/spreadsheets/d/11923uPwbBZFjjGgGUA6NLw09EwE0CqkOc4q9oUmW1yo/edit?usp=sharing"",""อุทัยธานี!I323"")"),10)</f>
        <v>10</v>
      </c>
      <c r="J428" s="392">
        <f ca="1">IFERROR(__xludf.DUMMYFUNCTION("IMPORTRANGE(""https://docs.google.com/spreadsheets/d/11923uPwbBZFjjGgGUA6NLw09EwE0CqkOc4q9oUmW1yo/edit?usp=sharing"",""อุทัยธานี!J323"")"),10)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IFERROR(__xludf.DUMMYFUNCTION("IMPORTRANGE(""https://docs.google.com/spreadsheets/d/11923uPwbBZFjjGgGUA6NLw09EwE0CqkOc4q9oUmW1yo/edit?usp=sharing"",""อุทัยธานี!I324"")"),10)</f>
        <v>10</v>
      </c>
      <c r="J429" s="392">
        <f ca="1">IFERROR(__xludf.DUMMYFUNCTION("IMPORTRANGE(""https://docs.google.com/spreadsheets/d/11923uPwbBZFjjGgGUA6NLw09EwE0CqkOc4q9oUmW1yo/edit?usp=sharing"",""อุทัยธานี!J324"")"),0)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IFERROR(__xludf.DUMMYFUNCTION("IMPORTRANGE(""https://docs.google.com/spreadsheets/d/11923uPwbBZFjjGgGUA6NLw09EwE0CqkOc4q9oUmW1yo/edit?usp=sharing"",""อุทัยธานี!I325"")"),40)</f>
        <v>40</v>
      </c>
      <c r="J430" s="390">
        <f ca="1">IFERROR(__xludf.DUMMYFUNCTION("IMPORTRANGE(""https://docs.google.com/spreadsheets/d/11923uPwbBZFjjGgGUA6NLw09EwE0CqkOc4q9oUmW1yo/edit?usp=sharing"",""อุทัยธานี!J325"")"),0)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IFERROR(__xludf.DUMMYFUNCTION("IMPORTRANGE(""https://docs.google.com/spreadsheets/d/11923uPwbBZFjjGgGUA6NLw09EwE0CqkOc4q9oUmW1yo/edit?usp=sharing"",""อุทัยธานี!I326"")"),20)</f>
        <v>20</v>
      </c>
      <c r="J431" s="392">
        <f ca="1">IFERROR(__xludf.DUMMYFUNCTION("IMPORTRANGE(""https://docs.google.com/spreadsheets/d/11923uPwbBZFjjGgGUA6NLw09EwE0CqkOc4q9oUmW1yo/edit?usp=sharing"",""อุทัยธานี!J326"")"),0)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IFERROR(__xludf.DUMMYFUNCTION("IMPORTRANGE(""https://docs.google.com/spreadsheets/d/11923uPwbBZFjjGgGUA6NLw09EwE0CqkOc4q9oUmW1yo/edit?usp=sharing"",""อุทัยธานี!I327"")"),20)</f>
        <v>20</v>
      </c>
      <c r="J432" s="392">
        <f ca="1">IFERROR(__xludf.DUMMYFUNCTION("IMPORTRANGE(""https://docs.google.com/spreadsheets/d/11923uPwbBZFjjGgGUA6NLw09EwE0CqkOc4q9oUmW1yo/edit?usp=sharing"",""อุทัยธานี!J327"")"),0)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IFERROR(__xludf.DUMMYFUNCTION("IMPORTRANGE(""https://docs.google.com/spreadsheets/d/11923uPwbBZFjjGgGUA6NLw09EwE0CqkOc4q9oUmW1yo/edit?usp=sharing"",""อุทัยธานี!J328"")"),0)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IFERROR(__xludf.DUMMYFUNCTION("IMPORTRANGE(""https://docs.google.com/spreadsheets/d/11923uPwbBZFjjGgGUA6NLw09EwE0CqkOc4q9oUmW1yo/edit?usp=sharing"",""อุทัยธานี!J329"")"),0)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IFERROR(__xludf.DUMMYFUNCTION("IMPORTRANGE(""https://docs.google.com/spreadsheets/d/11923uPwbBZFjjGgGUA6NLw09EwE0CqkOc4q9oUmW1yo/edit?usp=sharing"",""อุทัยธานี!I330"")"),15)</f>
        <v>15</v>
      </c>
      <c r="J435" s="408">
        <f ca="1">IFERROR(__xludf.DUMMYFUNCTION("IMPORTRANGE(""https://docs.google.com/spreadsheets/d/11923uPwbBZFjjGgGUA6NLw09EwE0CqkOc4q9oUmW1yo/edit?usp=sharing"",""อุทัยธานี!J330"")"),15)</f>
        <v>15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IFERROR(__xludf.DUMMYFUNCTION("IMPORTRANGE(""https://docs.google.com/spreadsheets/d/11923uPwbBZFjjGgGUA6NLw09EwE0CqkOc4q9oUmW1yo/edit?usp=sharing"",""อุทัยธานี!L330"")"),88000)</f>
        <v>88000</v>
      </c>
      <c r="M435" s="410"/>
      <c r="N435" s="410">
        <f ca="1">IFERROR(__xludf.DUMMYFUNCTION("IMPORTRANGE(""https://docs.google.com/spreadsheets/d/11923uPwbBZFjjGgGUA6NLw09EwE0CqkOc4q9oUmW1yo/edit?usp=sharing"",""อุทัยธานี!M330"")"),52190)</f>
        <v>52190</v>
      </c>
      <c r="O435" s="410">
        <f t="shared" ref="O435:O439" ca="1" si="114">+IF(L435&gt;0,N435*100/L435,0)</f>
        <v>59.30681818181818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IFERROR(__xludf.DUMMYFUNCTION("IMPORTRANGE(""https://docs.google.com/spreadsheets/d/11923uPwbBZFjjGgGUA6NLw09EwE0CqkOc4q9oUmW1yo/edit?usp=sharing"",""อุทัยธานี!L331"")"),0)</f>
        <v>0</v>
      </c>
      <c r="M436" s="164"/>
      <c r="N436" s="168">
        <f ca="1">IFERROR(__xludf.DUMMYFUNCTION("IMPORTRANGE(""https://docs.google.com/spreadsheets/d/11923uPwbBZFjjGgGUA6NLw09EwE0CqkOc4q9oUmW1yo/edit?usp=sharing"",""อุทัยธานี!M331"")"),0)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IFERROR(__xludf.DUMMYFUNCTION("IMPORTRANGE(""https://docs.google.com/spreadsheets/d/11923uPwbBZFjjGgGUA6NLw09EwE0CqkOc4q9oUmW1yo/edit?usp=sharing"",""อุทัยธานี!L332"")"),88000)</f>
        <v>88000</v>
      </c>
      <c r="M437" s="165"/>
      <c r="N437" s="168">
        <f ca="1">IFERROR(__xludf.DUMMYFUNCTION("IMPORTRANGE(""https://docs.google.com/spreadsheets/d/11923uPwbBZFjjGgGUA6NLw09EwE0CqkOc4q9oUmW1yo/edit?usp=sharing"",""อุทัยธานี!M332"")"),52190)</f>
        <v>52190</v>
      </c>
      <c r="O437" s="168">
        <f t="shared" ca="1" si="114"/>
        <v>59.30681818181818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IFERROR(__xludf.DUMMYFUNCTION("IMPORTRANGE(""https://docs.google.com/spreadsheets/d/11923uPwbBZFjjGgGUA6NLw09EwE0CqkOc4q9oUmW1yo/edit?usp=sharing"",""อุทัยธานี!L333"")"),0)</f>
        <v>0</v>
      </c>
      <c r="M438" s="168"/>
      <c r="N438" s="168">
        <f ca="1">IFERROR(__xludf.DUMMYFUNCTION("IMPORTRANGE(""https://docs.google.com/spreadsheets/d/11923uPwbBZFjjGgGUA6NLw09EwE0CqkOc4q9oUmW1yo/edit?usp=sharing"",""อุทัยธานี!M333"")"),0)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IFERROR(__xludf.DUMMYFUNCTION("IMPORTRANGE(""https://docs.google.com/spreadsheets/d/11923uPwbBZFjjGgGUA6NLw09EwE0CqkOc4q9oUmW1yo/edit?usp=sharing"",""อุทัยธานี!L334"")"),88000)</f>
        <v>88000</v>
      </c>
      <c r="M439" s="168"/>
      <c r="N439" s="168">
        <f ca="1">IFERROR(__xludf.DUMMYFUNCTION("IMPORTRANGE(""https://docs.google.com/spreadsheets/d/11923uPwbBZFjjGgGUA6NLw09EwE0CqkOc4q9oUmW1yo/edit?usp=sharing"",""อุทัยธานี!M334"")"),52190)</f>
        <v>52190</v>
      </c>
      <c r="O439" s="168">
        <f t="shared" ca="1" si="114"/>
        <v>59.30681818181818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IFERROR(__xludf.DUMMYFUNCTION("IMPORTRANGE(""https://docs.google.com/spreadsheets/d/11923uPwbBZFjjGgGUA6NLw09EwE0CqkOc4q9oUmW1yo/edit?usp=sharing"",""อุทัยธานี!M335"")"),35300)</f>
        <v>35300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IFERROR(__xludf.DUMMYFUNCTION("IMPORTRANGE(""https://docs.google.com/spreadsheets/d/11923uPwbBZFjjGgGUA6NLw09EwE0CqkOc4q9oUmW1yo/edit?usp=sharing"",""อุทัยธานี!M336"")"),0)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IFERROR(__xludf.DUMMYFUNCTION("IMPORTRANGE(""https://docs.google.com/spreadsheets/d/11923uPwbBZFjjGgGUA6NLw09EwE0CqkOc4q9oUmW1yo/edit?usp=sharing"",""อุทัยธานี!M337"")"),0)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IFERROR(__xludf.DUMMYFUNCTION("IMPORTRANGE(""https://docs.google.com/spreadsheets/d/11923uPwbBZFjjGgGUA6NLw09EwE0CqkOc4q9oUmW1yo/edit?usp=sharing"",""อุทัยธานี!M338"")"),16890)</f>
        <v>16890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IFERROR(__xludf.DUMMYFUNCTION("IMPORTRANGE(""https://docs.google.com/spreadsheets/d/11923uPwbBZFjjGgGUA6NLw09EwE0CqkOc4q9oUmW1yo/edit?usp=sharing"",""อุทัยธานี!J340"")"),0)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IFERROR(__xludf.DUMMYFUNCTION("IMPORTRANGE(""https://docs.google.com/spreadsheets/d/11923uPwbBZFjjGgGUA6NLw09EwE0CqkOc4q9oUmW1yo/edit?usp=sharing"",""อุทัยธานี!J341"")"),1)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IFERROR(__xludf.DUMMYFUNCTION("IMPORTRANGE(""https://docs.google.com/spreadsheets/d/11923uPwbBZFjjGgGUA6NLw09EwE0CqkOc4q9oUmW1yo/edit?usp=sharing"",""อุทัยธานี!J342"")"),1)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IFERROR(__xludf.DUMMYFUNCTION("IMPORTRANGE(""https://docs.google.com/spreadsheets/d/11923uPwbBZFjjGgGUA6NLw09EwE0CqkOc4q9oUmW1yo/edit?usp=sharing"",""อุทัยธานี!J343"")"),1)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IFERROR(__xludf.DUMMYFUNCTION("IMPORTRANGE(""https://docs.google.com/spreadsheets/d/11923uPwbBZFjjGgGUA6NLw09EwE0CqkOc4q9oUmW1yo/edit?usp=sharing"",""อุทัยธานี!I344"")"),15)</f>
        <v>15</v>
      </c>
      <c r="J449" s="200">
        <f ca="1">IFERROR(__xludf.DUMMYFUNCTION("IMPORTRANGE(""https://docs.google.com/spreadsheets/d/11923uPwbBZFjjGgGUA6NLw09EwE0CqkOc4q9oUmW1yo/edit?usp=sharing"",""อุทัยธานี!J344"")"),15)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IFERROR(__xludf.DUMMYFUNCTION("IMPORTRANGE(""https://docs.google.com/spreadsheets/d/11923uPwbBZFjjGgGUA6NLw09EwE0CqkOc4q9oUmW1yo/edit?usp=sharing"",""อุทัยธานี!I345"")"),15)</f>
        <v>15</v>
      </c>
      <c r="J450" s="188">
        <f ca="1">IFERROR(__xludf.DUMMYFUNCTION("IMPORTRANGE(""https://docs.google.com/spreadsheets/d/11923uPwbBZFjjGgGUA6NLw09EwE0CqkOc4q9oUmW1yo/edit?usp=sharing"",""อุทัยธานี!J345"")"),15)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IFERROR(__xludf.DUMMYFUNCTION("IMPORTRANGE(""https://docs.google.com/spreadsheets/d/11923uPwbBZFjjGgGUA6NLw09EwE0CqkOc4q9oUmW1yo/edit?usp=sharing"",""อุทัยธานี!I346"")"),0)</f>
        <v>0</v>
      </c>
      <c r="J451" s="187">
        <f ca="1">IFERROR(__xludf.DUMMYFUNCTION("IMPORTRANGE(""https://docs.google.com/spreadsheets/d/11923uPwbBZFjjGgGUA6NLw09EwE0CqkOc4q9oUmW1yo/edit?usp=sharing"",""อุทัยธานี!J346"")"),0)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IFERROR(__xludf.DUMMYFUNCTION("IMPORTRANGE(""https://docs.google.com/spreadsheets/d/11923uPwbBZFjjGgGUA6NLw09EwE0CqkOc4q9oUmW1yo/edit?usp=sharing"",""อุทัยธานี!I347"")"),0)</f>
        <v>0</v>
      </c>
      <c r="J452" s="187">
        <f ca="1">IFERROR(__xludf.DUMMYFUNCTION("IMPORTRANGE(""https://docs.google.com/spreadsheets/d/11923uPwbBZFjjGgGUA6NLw09EwE0CqkOc4q9oUmW1yo/edit?usp=sharing"",""อุทัยธานี!J347"")"),0)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IFERROR(__xludf.DUMMYFUNCTION("IMPORTRANGE(""https://docs.google.com/spreadsheets/d/11923uPwbBZFjjGgGUA6NLw09EwE0CqkOc4q9oUmW1yo/edit?usp=sharing"",""อุทัยธานี!J348"")"),0)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IFERROR(__xludf.DUMMYFUNCTION("IMPORTRANGE(""https://docs.google.com/spreadsheets/d/11923uPwbBZFjjGgGUA6NLw09EwE0CqkOc4q9oUmW1yo/edit?usp=sharing"",""อุทัยธานี!J349"")"),0)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IFERROR(__xludf.DUMMYFUNCTION("IMPORTRANGE(""https://docs.google.com/spreadsheets/d/11923uPwbBZFjjGgGUA6NLw09EwE0CqkOc4q9oUmW1yo/edit?usp=sharing"",""อุทัยธานี!I350"")"),24034)</f>
        <v>24034</v>
      </c>
      <c r="J455" s="369">
        <f ca="1">IFERROR(__xludf.DUMMYFUNCTION("IMPORTRANGE(""https://docs.google.com/spreadsheets/d/11923uPwbBZFjjGgGUA6NLw09EwE0CqkOc4q9oUmW1yo/edit?usp=sharing"",""อุทัยธานี!J350"")"),0)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IFERROR(__xludf.DUMMYFUNCTION("IMPORTRANGE(""https://docs.google.com/spreadsheets/d/11923uPwbBZFjjGgGUA6NLw09EwE0CqkOc4q9oUmW1yo/edit?usp=sharing"",""อุทัยธานี!L350"")"),296488)</f>
        <v>296488</v>
      </c>
      <c r="M455" s="371"/>
      <c r="N455" s="371">
        <f ca="1">IFERROR(__xludf.DUMMYFUNCTION("IMPORTRANGE(""https://docs.google.com/spreadsheets/d/11923uPwbBZFjjGgGUA6NLw09EwE0CqkOc4q9oUmW1yo/edit?usp=sharing"",""อุทัยธานี!M350"")"),25845)</f>
        <v>25845</v>
      </c>
      <c r="O455" s="371">
        <f t="shared" ref="O455:O459" ca="1" si="116">+IF(L455&gt;0,N455*100/L455,0)</f>
        <v>8.717047570222066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IFERROR(__xludf.DUMMYFUNCTION("IMPORTRANGE(""https://docs.google.com/spreadsheets/d/11923uPwbBZFjjGgGUA6NLw09EwE0CqkOc4q9oUmW1yo/edit?usp=sharing"",""อุทัยธานี!L351"")"),0)</f>
        <v>0</v>
      </c>
      <c r="M456" s="164"/>
      <c r="N456" s="168">
        <f ca="1">IFERROR(__xludf.DUMMYFUNCTION("IMPORTRANGE(""https://docs.google.com/spreadsheets/d/11923uPwbBZFjjGgGUA6NLw09EwE0CqkOc4q9oUmW1yo/edit?usp=sharing"",""อุทัยธานี!M351"")"),0)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IFERROR(__xludf.DUMMYFUNCTION("IMPORTRANGE(""https://docs.google.com/spreadsheets/d/11923uPwbBZFjjGgGUA6NLw09EwE0CqkOc4q9oUmW1yo/edit?usp=sharing"",""อุทัยธานี!L352"")"),296488)</f>
        <v>296488</v>
      </c>
      <c r="M457" s="165"/>
      <c r="N457" s="168">
        <f ca="1">IFERROR(__xludf.DUMMYFUNCTION("IMPORTRANGE(""https://docs.google.com/spreadsheets/d/11923uPwbBZFjjGgGUA6NLw09EwE0CqkOc4q9oUmW1yo/edit?usp=sharing"",""อุทัยธานี!M352"")"),25845)</f>
        <v>25845</v>
      </c>
      <c r="O457" s="168">
        <f t="shared" ca="1" si="116"/>
        <v>8.717047570222066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IFERROR(__xludf.DUMMYFUNCTION("IMPORTRANGE(""https://docs.google.com/spreadsheets/d/11923uPwbBZFjjGgGUA6NLw09EwE0CqkOc4q9oUmW1yo/edit?usp=sharing"",""อุทัยธานี!L353"")"),0)</f>
        <v>0</v>
      </c>
      <c r="M458" s="168"/>
      <c r="N458" s="168">
        <f ca="1">IFERROR(__xludf.DUMMYFUNCTION("IMPORTRANGE(""https://docs.google.com/spreadsheets/d/11923uPwbBZFjjGgGUA6NLw09EwE0CqkOc4q9oUmW1yo/edit?usp=sharing"",""อุทัยธานี!M353"")"),0)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IFERROR(__xludf.DUMMYFUNCTION("IMPORTRANGE(""https://docs.google.com/spreadsheets/d/11923uPwbBZFjjGgGUA6NLw09EwE0CqkOc4q9oUmW1yo/edit?usp=sharing"",""อุทัยธานี!L354"")"),296488)</f>
        <v>296488</v>
      </c>
      <c r="M459" s="168"/>
      <c r="N459" s="168">
        <f ca="1">IFERROR(__xludf.DUMMYFUNCTION("IMPORTRANGE(""https://docs.google.com/spreadsheets/d/11923uPwbBZFjjGgGUA6NLw09EwE0CqkOc4q9oUmW1yo/edit?usp=sharing"",""อุทัยธานี!M354"")"),25845)</f>
        <v>25845</v>
      </c>
      <c r="O459" s="168">
        <f t="shared" ca="1" si="116"/>
        <v>8.717047570222066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IFERROR(__xludf.DUMMYFUNCTION("IMPORTRANGE(""https://docs.google.com/spreadsheets/d/11923uPwbBZFjjGgGUA6NLw09EwE0CqkOc4q9oUmW1yo/edit?usp=sharing"",""อุทัยธานี!M355"")"),0)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IFERROR(__xludf.DUMMYFUNCTION("IMPORTRANGE(""https://docs.google.com/spreadsheets/d/11923uPwbBZFjjGgGUA6NLw09EwE0CqkOc4q9oUmW1yo/edit?usp=sharing"",""อุทัยธานี!M356"")"),0)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IFERROR(__xludf.DUMMYFUNCTION("IMPORTRANGE(""https://docs.google.com/spreadsheets/d/11923uPwbBZFjjGgGUA6NLw09EwE0CqkOc4q9oUmW1yo/edit?usp=sharing"",""อุทัยธานี!M357"")"),0)</f>
        <v>0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IFERROR(__xludf.DUMMYFUNCTION("IMPORTRANGE(""https://docs.google.com/spreadsheets/d/11923uPwbBZFjjGgGUA6NLw09EwE0CqkOc4q9oUmW1yo/edit?usp=sharing"",""อุทัยธานี!M358"")"),25845)</f>
        <v>25845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IFERROR(__xludf.DUMMYFUNCTION("IMPORTRANGE(""https://docs.google.com/spreadsheets/d/11923uPwbBZFjjGgGUA6NLw09EwE0CqkOc4q9oUmW1yo/edit?usp=sharing"",""อุทัยธานี!I359"")"),24034)</f>
        <v>24034</v>
      </c>
      <c r="J464" s="266">
        <f ca="1">IFERROR(__xludf.DUMMYFUNCTION("IMPORTRANGE(""https://docs.google.com/spreadsheets/d/11923uPwbBZFjjGgGUA6NLw09EwE0CqkOc4q9oUmW1yo/edit?usp=sharing"",""อุทัยธานี!J359"")"),0)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IFERROR(__xludf.DUMMYFUNCTION("IMPORTRANGE(""https://docs.google.com/spreadsheets/d/11923uPwbBZFjjGgGUA6NLw09EwE0CqkOc4q9oUmW1yo/edit?usp=sharing"",""อุทัยธานี!I360"")"),24034)</f>
        <v>24034</v>
      </c>
      <c r="J465" s="418">
        <f ca="1">IFERROR(__xludf.DUMMYFUNCTION("IMPORTRANGE(""https://docs.google.com/spreadsheets/d/11923uPwbBZFjjGgGUA6NLw09EwE0CqkOc4q9oUmW1yo/edit?usp=sharing"",""อุทัยธานี!J360"")"),22969)</f>
        <v>22969</v>
      </c>
      <c r="K465" s="201">
        <f t="shared" ca="1" si="117"/>
        <v>95.568777565116079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IFERROR(__xludf.DUMMYFUNCTION("IMPORTRANGE(""https://docs.google.com/spreadsheets/d/11923uPwbBZFjjGgGUA6NLw09EwE0CqkOc4q9oUmW1yo/edit?usp=sharing"",""อุทัยธานี!I361"")"),2600)</f>
        <v>2600</v>
      </c>
      <c r="J466" s="418">
        <f ca="1">IFERROR(__xludf.DUMMYFUNCTION("IMPORTRANGE(""https://docs.google.com/spreadsheets/d/11923uPwbBZFjjGgGUA6NLw09EwE0CqkOc4q9oUmW1yo/edit?usp=sharing"",""อุทัยธานี!J361"")"),2486)</f>
        <v>2486</v>
      </c>
      <c r="K466" s="201">
        <f t="shared" ca="1" si="117"/>
        <v>95.615384615384613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IFERROR(__xludf.DUMMYFUNCTION("IMPORTRANGE(""https://docs.google.com/spreadsheets/d/11923uPwbBZFjjGgGUA6NLw09EwE0CqkOc4q9oUmW1yo/edit?usp=sharing"",""อุทัยธานี!I362"")"),0)</f>
        <v>0</v>
      </c>
      <c r="J467" s="188">
        <f ca="1">IFERROR(__xludf.DUMMYFUNCTION("IMPORTRANGE(""https://docs.google.com/spreadsheets/d/11923uPwbBZFjjGgGUA6NLw09EwE0CqkOc4q9oUmW1yo/edit?usp=sharing"",""อุทัยธานี!J362"")"),17173)</f>
        <v>17173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IFERROR(__xludf.DUMMYFUNCTION("IMPORTRANGE(""https://docs.google.com/spreadsheets/d/11923uPwbBZFjjGgGUA6NLw09EwE0CqkOc4q9oUmW1yo/edit?usp=sharing"",""อุทัยธานี!I363"")"),0)</f>
        <v>0</v>
      </c>
      <c r="J468" s="188">
        <f ca="1">IFERROR(__xludf.DUMMYFUNCTION("IMPORTRANGE(""https://docs.google.com/spreadsheets/d/11923uPwbBZFjjGgGUA6NLw09EwE0CqkOc4q9oUmW1yo/edit?usp=sharing"",""อุทัยธานี!J363"")"),2049)</f>
        <v>2049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IFERROR(__xludf.DUMMYFUNCTION("IMPORTRANGE(""https://docs.google.com/spreadsheets/d/11923uPwbBZFjjGgGUA6NLw09EwE0CqkOc4q9oUmW1yo/edit?usp=sharing"",""อุทัยธานี!I364"")"),0)</f>
        <v>0</v>
      </c>
      <c r="J469" s="188">
        <f ca="1">IFERROR(__xludf.DUMMYFUNCTION("IMPORTRANGE(""https://docs.google.com/spreadsheets/d/11923uPwbBZFjjGgGUA6NLw09EwE0CqkOc4q9oUmW1yo/edit?usp=sharing"",""อุทัยธานี!J364"")"),4649)</f>
        <v>4649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IFERROR(__xludf.DUMMYFUNCTION("IMPORTRANGE(""https://docs.google.com/spreadsheets/d/11923uPwbBZFjjGgGUA6NLw09EwE0CqkOc4q9oUmW1yo/edit?usp=sharing"",""อุทัยธานี!I365"")"),0)</f>
        <v>0</v>
      </c>
      <c r="J470" s="188">
        <f ca="1">IFERROR(__xludf.DUMMYFUNCTION("IMPORTRANGE(""https://docs.google.com/spreadsheets/d/11923uPwbBZFjjGgGUA6NLw09EwE0CqkOc4q9oUmW1yo/edit?usp=sharing"",""อุทัยธานี!J365"")"),311)</f>
        <v>311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IFERROR(__xludf.DUMMYFUNCTION("IMPORTRANGE(""https://docs.google.com/spreadsheets/d/11923uPwbBZFjjGgGUA6NLw09EwE0CqkOc4q9oUmW1yo/edit?usp=sharing"",""อุทัยธานี!I366"")"),0)</f>
        <v>0</v>
      </c>
      <c r="J471" s="188">
        <f ca="1">IFERROR(__xludf.DUMMYFUNCTION("IMPORTRANGE(""https://docs.google.com/spreadsheets/d/11923uPwbBZFjjGgGUA6NLw09EwE0CqkOc4q9oUmW1yo/edit?usp=sharing"",""อุทัยธานี!J366"")"),1147)</f>
        <v>1147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IFERROR(__xludf.DUMMYFUNCTION("IMPORTRANGE(""https://docs.google.com/spreadsheets/d/11923uPwbBZFjjGgGUA6NLw09EwE0CqkOc4q9oUmW1yo/edit?usp=sharing"",""อุทัยธานี!I367"")"),0)</f>
        <v>0</v>
      </c>
      <c r="J472" s="188">
        <f ca="1">IFERROR(__xludf.DUMMYFUNCTION("IMPORTRANGE(""https://docs.google.com/spreadsheets/d/11923uPwbBZFjjGgGUA6NLw09EwE0CqkOc4q9oUmW1yo/edit?usp=sharing"",""อุทัยธานี!J367"")"),126)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IFERROR(__xludf.DUMMYFUNCTION("IMPORTRANGE(""https://docs.google.com/spreadsheets/d/11923uPwbBZFjjGgGUA6NLw09EwE0CqkOc4q9oUmW1yo/edit?usp=sharing"",""อุทัยธานี!I368"")"),24034)</f>
        <v>24034</v>
      </c>
      <c r="J473" s="418">
        <f ca="1">IFERROR(__xludf.DUMMYFUNCTION("IMPORTRANGE(""https://docs.google.com/spreadsheets/d/11923uPwbBZFjjGgGUA6NLw09EwE0CqkOc4q9oUmW1yo/edit?usp=sharing"",""อุทัยธานี!J368"")"),0)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IFERROR(__xludf.DUMMYFUNCTION("IMPORTRANGE(""https://docs.google.com/spreadsheets/d/11923uPwbBZFjjGgGUA6NLw09EwE0CqkOc4q9oUmW1yo/edit?usp=sharing"",""อุทัยธานี!I369"")"),2600)</f>
        <v>2600</v>
      </c>
      <c r="J474" s="418">
        <f ca="1">IFERROR(__xludf.DUMMYFUNCTION("IMPORTRANGE(""https://docs.google.com/spreadsheets/d/11923uPwbBZFjjGgGUA6NLw09EwE0CqkOc4q9oUmW1yo/edit?usp=sharing"",""อุทัยธานี!J369"")"),0)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IFERROR(__xludf.DUMMYFUNCTION("IMPORTRANGE(""https://docs.google.com/spreadsheets/d/11923uPwbBZFjjGgGUA6NLw09EwE0CqkOc4q9oUmW1yo/edit?usp=sharing"",""อุทัยธานี!I370"")"),0)</f>
        <v>0</v>
      </c>
      <c r="J475" s="188">
        <f ca="1">IFERROR(__xludf.DUMMYFUNCTION("IMPORTRANGE(""https://docs.google.com/spreadsheets/d/11923uPwbBZFjjGgGUA6NLw09EwE0CqkOc4q9oUmW1yo/edit?usp=sharing"",""อุทัยธานี!J370"")"),0)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IFERROR(__xludf.DUMMYFUNCTION("IMPORTRANGE(""https://docs.google.com/spreadsheets/d/11923uPwbBZFjjGgGUA6NLw09EwE0CqkOc4q9oUmW1yo/edit?usp=sharing"",""อุทัยธานี!I371"")"),0)</f>
        <v>0</v>
      </c>
      <c r="J476" s="188">
        <f ca="1">IFERROR(__xludf.DUMMYFUNCTION("IMPORTRANGE(""https://docs.google.com/spreadsheets/d/11923uPwbBZFjjGgGUA6NLw09EwE0CqkOc4q9oUmW1yo/edit?usp=sharing"",""อุทัยธานี!J371"")"),0)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IFERROR(__xludf.DUMMYFUNCTION("IMPORTRANGE(""https://docs.google.com/spreadsheets/d/11923uPwbBZFjjGgGUA6NLw09EwE0CqkOc4q9oUmW1yo/edit?usp=sharing"",""อุทัยธานี!I372"")"),0)</f>
        <v>0</v>
      </c>
      <c r="J477" s="188">
        <f ca="1">IFERROR(__xludf.DUMMYFUNCTION("IMPORTRANGE(""https://docs.google.com/spreadsheets/d/11923uPwbBZFjjGgGUA6NLw09EwE0CqkOc4q9oUmW1yo/edit?usp=sharing"",""อุทัยธานี!J372"")"),0)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IFERROR(__xludf.DUMMYFUNCTION("IMPORTRANGE(""https://docs.google.com/spreadsheets/d/11923uPwbBZFjjGgGUA6NLw09EwE0CqkOc4q9oUmW1yo/edit?usp=sharing"",""อุทัยธานี!I373"")"),0)</f>
        <v>0</v>
      </c>
      <c r="J478" s="188">
        <f ca="1">IFERROR(__xludf.DUMMYFUNCTION("IMPORTRANGE(""https://docs.google.com/spreadsheets/d/11923uPwbBZFjjGgGUA6NLw09EwE0CqkOc4q9oUmW1yo/edit?usp=sharing"",""อุทัยธานี!J373"")"),0)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IFERROR(__xludf.DUMMYFUNCTION("IMPORTRANGE(""https://docs.google.com/spreadsheets/d/11923uPwbBZFjjGgGUA6NLw09EwE0CqkOc4q9oUmW1yo/edit?usp=sharing"",""อุทัยธานี!I374"")"),0)</f>
        <v>0</v>
      </c>
      <c r="J479" s="188">
        <f ca="1">IFERROR(__xludf.DUMMYFUNCTION("IMPORTRANGE(""https://docs.google.com/spreadsheets/d/11923uPwbBZFjjGgGUA6NLw09EwE0CqkOc4q9oUmW1yo/edit?usp=sharing"",""อุทัยธานี!J374"")"),0)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IFERROR(__xludf.DUMMYFUNCTION("IMPORTRANGE(""https://docs.google.com/spreadsheets/d/11923uPwbBZFjjGgGUA6NLw09EwE0CqkOc4q9oUmW1yo/edit?usp=sharing"",""อุทัยธานี!I375"")"),0)</f>
        <v>0</v>
      </c>
      <c r="J480" s="188">
        <f ca="1">IFERROR(__xludf.DUMMYFUNCTION("IMPORTRANGE(""https://docs.google.com/spreadsheets/d/11923uPwbBZFjjGgGUA6NLw09EwE0CqkOc4q9oUmW1yo/edit?usp=sharing"",""อุทัยธานี!J375"")"),0)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IFERROR(__xludf.DUMMYFUNCTION("IMPORTRANGE(""https://docs.google.com/spreadsheets/d/11923uPwbBZFjjGgGUA6NLw09EwE0CqkOc4q9oUmW1yo/edit?usp=sharing"",""อุทัยธานี!I376"")"),24034)</f>
        <v>24034</v>
      </c>
      <c r="J481" s="418">
        <f ca="1">IFERROR(__xludf.DUMMYFUNCTION("IMPORTRANGE(""https://docs.google.com/spreadsheets/d/11923uPwbBZFjjGgGUA6NLw09EwE0CqkOc4q9oUmW1yo/edit?usp=sharing"",""อุทัยธานี!J376"")"),0)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IFERROR(__xludf.DUMMYFUNCTION("IMPORTRANGE(""https://docs.google.com/spreadsheets/d/11923uPwbBZFjjGgGUA6NLw09EwE0CqkOc4q9oUmW1yo/edit?usp=sharing"",""อุทัยธานี!I377"")"),2600)</f>
        <v>2600</v>
      </c>
      <c r="J482" s="418">
        <f ca="1">IFERROR(__xludf.DUMMYFUNCTION("IMPORTRANGE(""https://docs.google.com/spreadsheets/d/11923uPwbBZFjjGgGUA6NLw09EwE0CqkOc4q9oUmW1yo/edit?usp=sharing"",""อุทัยธานี!J377"")"),0)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IFERROR(__xludf.DUMMYFUNCTION("IMPORTRANGE(""https://docs.google.com/spreadsheets/d/11923uPwbBZFjjGgGUA6NLw09EwE0CqkOc4q9oUmW1yo/edit?usp=sharing"",""อุทัยธานี!I378"")"),0)</f>
        <v>0</v>
      </c>
      <c r="J483" s="188">
        <f ca="1">IFERROR(__xludf.DUMMYFUNCTION("IMPORTRANGE(""https://docs.google.com/spreadsheets/d/11923uPwbBZFjjGgGUA6NLw09EwE0CqkOc4q9oUmW1yo/edit?usp=sharing"",""อุทัยธานี!J378"")"),0)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IFERROR(__xludf.DUMMYFUNCTION("IMPORTRANGE(""https://docs.google.com/spreadsheets/d/11923uPwbBZFjjGgGUA6NLw09EwE0CqkOc4q9oUmW1yo/edit?usp=sharing"",""อุทัยธานี!I379"")"),0)</f>
        <v>0</v>
      </c>
      <c r="J484" s="188">
        <f ca="1">IFERROR(__xludf.DUMMYFUNCTION("IMPORTRANGE(""https://docs.google.com/spreadsheets/d/11923uPwbBZFjjGgGUA6NLw09EwE0CqkOc4q9oUmW1yo/edit?usp=sharing"",""อุทัยธานี!J379"")"),0)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IFERROR(__xludf.DUMMYFUNCTION("IMPORTRANGE(""https://docs.google.com/spreadsheets/d/11923uPwbBZFjjGgGUA6NLw09EwE0CqkOc4q9oUmW1yo/edit?usp=sharing"",""อุทัยธานี!I380"")"),0)</f>
        <v>0</v>
      </c>
      <c r="J485" s="188">
        <f ca="1">IFERROR(__xludf.DUMMYFUNCTION("IMPORTRANGE(""https://docs.google.com/spreadsheets/d/11923uPwbBZFjjGgGUA6NLw09EwE0CqkOc4q9oUmW1yo/edit?usp=sharing"",""อุทัยธานี!J380"")"),0)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IFERROR(__xludf.DUMMYFUNCTION("IMPORTRANGE(""https://docs.google.com/spreadsheets/d/11923uPwbBZFjjGgGUA6NLw09EwE0CqkOc4q9oUmW1yo/edit?usp=sharing"",""อุทัยธานี!I381"")"),0)</f>
        <v>0</v>
      </c>
      <c r="J486" s="188">
        <f ca="1">IFERROR(__xludf.DUMMYFUNCTION("IMPORTRANGE(""https://docs.google.com/spreadsheets/d/11923uPwbBZFjjGgGUA6NLw09EwE0CqkOc4q9oUmW1yo/edit?usp=sharing"",""อุทัยธานี!J381"")"),0)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IFERROR(__xludf.DUMMYFUNCTION("IMPORTRANGE(""https://docs.google.com/spreadsheets/d/11923uPwbBZFjjGgGUA6NLw09EwE0CqkOc4q9oUmW1yo/edit?usp=sharing"",""อุทัยธานี!I382"")"),0)</f>
        <v>0</v>
      </c>
      <c r="J487" s="418">
        <f ca="1">IFERROR(__xludf.DUMMYFUNCTION("IMPORTRANGE(""https://docs.google.com/spreadsheets/d/11923uPwbBZFjjGgGUA6NLw09EwE0CqkOc4q9oUmW1yo/edit?usp=sharing"",""อุทัยธานี!J382"")"),0)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IFERROR(__xludf.DUMMYFUNCTION("IMPORTRANGE(""https://docs.google.com/spreadsheets/d/11923uPwbBZFjjGgGUA6NLw09EwE0CqkOc4q9oUmW1yo/edit?usp=sharing"",""อุทัยธานี!I383"")"),0)</f>
        <v>0</v>
      </c>
      <c r="J488" s="418">
        <f ca="1">IFERROR(__xludf.DUMMYFUNCTION("IMPORTRANGE(""https://docs.google.com/spreadsheets/d/11923uPwbBZFjjGgGUA6NLw09EwE0CqkOc4q9oUmW1yo/edit?usp=sharing"",""อุทัยธานี!J383"")"),0)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IFERROR(__xludf.DUMMYFUNCTION("IMPORTRANGE(""https://docs.google.com/spreadsheets/d/11923uPwbBZFjjGgGUA6NLw09EwE0CqkOc4q9oUmW1yo/edit?usp=sharing"",""อุทัยธานี!I384"")"),0)</f>
        <v>0</v>
      </c>
      <c r="J489" s="188">
        <f ca="1">IFERROR(__xludf.DUMMYFUNCTION("IMPORTRANGE(""https://docs.google.com/spreadsheets/d/11923uPwbBZFjjGgGUA6NLw09EwE0CqkOc4q9oUmW1yo/edit?usp=sharing"",""อุทัยธานี!J384"")"),0)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IFERROR(__xludf.DUMMYFUNCTION("IMPORTRANGE(""https://docs.google.com/spreadsheets/d/11923uPwbBZFjjGgGUA6NLw09EwE0CqkOc4q9oUmW1yo/edit?usp=sharing"",""อุทัยธานี!I385"")"),0)</f>
        <v>0</v>
      </c>
      <c r="J490" s="188">
        <f ca="1">IFERROR(__xludf.DUMMYFUNCTION("IMPORTRANGE(""https://docs.google.com/spreadsheets/d/11923uPwbBZFjjGgGUA6NLw09EwE0CqkOc4q9oUmW1yo/edit?usp=sharing"",""อุทัยธานี!J385"")"),0)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IFERROR(__xludf.DUMMYFUNCTION("IMPORTRANGE(""https://docs.google.com/spreadsheets/d/11923uPwbBZFjjGgGUA6NLw09EwE0CqkOc4q9oUmW1yo/edit?usp=sharing"",""อุทัยธานี!I386"")"),0)</f>
        <v>0</v>
      </c>
      <c r="J491" s="188">
        <f ca="1">IFERROR(__xludf.DUMMYFUNCTION("IMPORTRANGE(""https://docs.google.com/spreadsheets/d/11923uPwbBZFjjGgGUA6NLw09EwE0CqkOc4q9oUmW1yo/edit?usp=sharing"",""อุทัยธานี!J386"")"),0)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IFERROR(__xludf.DUMMYFUNCTION("IMPORTRANGE(""https://docs.google.com/spreadsheets/d/11923uPwbBZFjjGgGUA6NLw09EwE0CqkOc4q9oUmW1yo/edit?usp=sharing"",""อุทัยธานี!I387"")"),0)</f>
        <v>0</v>
      </c>
      <c r="J492" s="188">
        <f ca="1">IFERROR(__xludf.DUMMYFUNCTION("IMPORTRANGE(""https://docs.google.com/spreadsheets/d/11923uPwbBZFjjGgGUA6NLw09EwE0CqkOc4q9oUmW1yo/edit?usp=sharing"",""อุทัยธานี!J387"")"),0)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IFERROR(__xludf.DUMMYFUNCTION("IMPORTRANGE(""https://docs.google.com/spreadsheets/d/11923uPwbBZFjjGgGUA6NLw09EwE0CqkOc4q9oUmW1yo/edit?usp=sharing"",""อุทัยธานี!I388"")"),0)</f>
        <v>0</v>
      </c>
      <c r="J493" s="188">
        <f ca="1">IFERROR(__xludf.DUMMYFUNCTION("IMPORTRANGE(""https://docs.google.com/spreadsheets/d/11923uPwbBZFjjGgGUA6NLw09EwE0CqkOc4q9oUmW1yo/edit?usp=sharing"",""อุทัยธานี!J388"")"),0)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IFERROR(__xludf.DUMMYFUNCTION("IMPORTRANGE(""https://docs.google.com/spreadsheets/d/11923uPwbBZFjjGgGUA6NLw09EwE0CqkOc4q9oUmW1yo/edit?usp=sharing"",""อุทัยธานี!I389"")"),0)</f>
        <v>0</v>
      </c>
      <c r="J494" s="434">
        <f ca="1">IFERROR(__xludf.DUMMYFUNCTION("IMPORTRANGE(""https://docs.google.com/spreadsheets/d/11923uPwbBZFjjGgGUA6NLw09EwE0CqkOc4q9oUmW1yo/edit?usp=sharing"",""อุทัยธานี!J389"")"),0)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IFERROR(__xludf.DUMMYFUNCTION("IMPORTRANGE(""https://docs.google.com/spreadsheets/d/11923uPwbBZFjjGgGUA6NLw09EwE0CqkOc4q9oUmW1yo/edit?usp=sharing"",""อุทัยธานี!I390"")"),0)</f>
        <v>0</v>
      </c>
      <c r="J495" s="434">
        <f ca="1">IFERROR(__xludf.DUMMYFUNCTION("IMPORTRANGE(""https://docs.google.com/spreadsheets/d/11923uPwbBZFjjGgGUA6NLw09EwE0CqkOc4q9oUmW1yo/edit?usp=sharing"",""อุทัยธานี!J390"")"),0)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IFERROR(__xludf.DUMMYFUNCTION("IMPORTRANGE(""https://docs.google.com/spreadsheets/d/11923uPwbBZFjjGgGUA6NLw09EwE0CqkOc4q9oUmW1yo/edit?usp=sharing"",""อุทัยธานี!I391"")"),0)</f>
        <v>0</v>
      </c>
      <c r="J496" s="434">
        <f ca="1">IFERROR(__xludf.DUMMYFUNCTION("IMPORTRANGE(""https://docs.google.com/spreadsheets/d/11923uPwbBZFjjGgGUA6NLw09EwE0CqkOc4q9oUmW1yo/edit?usp=sharing"",""อุทัยธานี!J391"")"),0)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IFERROR(__xludf.DUMMYFUNCTION("IMPORTRANGE(""https://docs.google.com/spreadsheets/d/11923uPwbBZFjjGgGUA6NLw09EwE0CqkOc4q9oUmW1yo/edit?usp=sharing"",""อุทัยธานี!I392"")"),7373)</f>
        <v>7373</v>
      </c>
      <c r="J497" s="441">
        <f ca="1">IFERROR(__xludf.DUMMYFUNCTION("IMPORTRANGE(""https://docs.google.com/spreadsheets/d/11923uPwbBZFjjGgGUA6NLw09EwE0CqkOc4q9oUmW1yo/edit?usp=sharing"",""อุทัยธานี!J392"")"),303)</f>
        <v>303</v>
      </c>
      <c r="K497" s="442">
        <f t="shared" ca="1" si="117"/>
        <v>4.1095890410958908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IFERROR(__xludf.DUMMYFUNCTION("IMPORTRANGE(""https://docs.google.com/spreadsheets/d/11923uPwbBZFjjGgGUA6NLw09EwE0CqkOc4q9oUmW1yo/edit?usp=sharing"",""อุทัยธานี!I393"")"),7373)</f>
        <v>7373</v>
      </c>
      <c r="J498" s="418">
        <f ca="1">IFERROR(__xludf.DUMMYFUNCTION("IMPORTRANGE(""https://docs.google.com/spreadsheets/d/11923uPwbBZFjjGgGUA6NLw09EwE0CqkOc4q9oUmW1yo/edit?usp=sharing"",""อุทัยธานี!J393"")"),303)</f>
        <v>303</v>
      </c>
      <c r="K498" s="163">
        <f t="shared" ca="1" si="117"/>
        <v>4.1095890410958908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IFERROR(__xludf.DUMMYFUNCTION("IMPORTRANGE(""https://docs.google.com/spreadsheets/d/11923uPwbBZFjjGgGUA6NLw09EwE0CqkOc4q9oUmW1yo/edit?usp=sharing"",""อุทัยธานี!I394"")"),412)</f>
        <v>412</v>
      </c>
      <c r="J499" s="418">
        <f ca="1">IFERROR(__xludf.DUMMYFUNCTION("IMPORTRANGE(""https://docs.google.com/spreadsheets/d/11923uPwbBZFjjGgGUA6NLw09EwE0CqkOc4q9oUmW1yo/edit?usp=sharing"",""อุทัยธานี!J394"")"),21)</f>
        <v>21</v>
      </c>
      <c r="K499" s="201">
        <f t="shared" ca="1" si="117"/>
        <v>5.0970873786407767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IFERROR(__xludf.DUMMYFUNCTION("IMPORTRANGE(""https://docs.google.com/spreadsheets/d/11923uPwbBZFjjGgGUA6NLw09EwE0CqkOc4q9oUmW1yo/edit?usp=sharing"",""อุทัยธานี!I395"")"),0)</f>
        <v>0</v>
      </c>
      <c r="J500" s="162">
        <f ca="1">IFERROR(__xludf.DUMMYFUNCTION("IMPORTRANGE(""https://docs.google.com/spreadsheets/d/11923uPwbBZFjjGgGUA6NLw09EwE0CqkOc4q9oUmW1yo/edit?usp=sharing"",""อุทัยธานี!J395"")"),303)</f>
        <v>303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IFERROR(__xludf.DUMMYFUNCTION("IMPORTRANGE(""https://docs.google.com/spreadsheets/d/11923uPwbBZFjjGgGUA6NLw09EwE0CqkOc4q9oUmW1yo/edit?usp=sharing"",""อุทัยธานี!I396"")"),0)</f>
        <v>0</v>
      </c>
      <c r="J501" s="162">
        <f ca="1">IFERROR(__xludf.DUMMYFUNCTION("IMPORTRANGE(""https://docs.google.com/spreadsheets/d/11923uPwbBZFjjGgGUA6NLw09EwE0CqkOc4q9oUmW1yo/edit?usp=sharing"",""อุทัยธานี!J396"")"),21)</f>
        <v>21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IFERROR(__xludf.DUMMYFUNCTION("IMPORTRANGE(""https://docs.google.com/spreadsheets/d/11923uPwbBZFjjGgGUA6NLw09EwE0CqkOc4q9oUmW1yo/edit?usp=sharing"",""อุทัยธานี!I397"")"),0)</f>
        <v>0</v>
      </c>
      <c r="J502" s="188">
        <f ca="1">IFERROR(__xludf.DUMMYFUNCTION("IMPORTRANGE(""https://docs.google.com/spreadsheets/d/11923uPwbBZFjjGgGUA6NLw09EwE0CqkOc4q9oUmW1yo/edit?usp=sharing"",""อุทัยธานี!J397"")"),277)</f>
        <v>277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IFERROR(__xludf.DUMMYFUNCTION("IMPORTRANGE(""https://docs.google.com/spreadsheets/d/11923uPwbBZFjjGgGUA6NLw09EwE0CqkOc4q9oUmW1yo/edit?usp=sharing"",""อุทัยธานี!I398"")"),0)</f>
        <v>0</v>
      </c>
      <c r="J503" s="197">
        <f ca="1">IFERROR(__xludf.DUMMYFUNCTION("IMPORTRANGE(""https://docs.google.com/spreadsheets/d/11923uPwbBZFjjGgGUA6NLw09EwE0CqkOc4q9oUmW1yo/edit?usp=sharing"",""อุทัยธานี!J398"")"),20)</f>
        <v>20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IFERROR(__xludf.DUMMYFUNCTION("IMPORTRANGE(""https://docs.google.com/spreadsheets/d/11923uPwbBZFjjGgGUA6NLw09EwE0CqkOc4q9oUmW1yo/edit?usp=sharing"",""อุทัยธานี!I399"")"),0)</f>
        <v>0</v>
      </c>
      <c r="J504" s="188">
        <f ca="1">IFERROR(__xludf.DUMMYFUNCTION("IMPORTRANGE(""https://docs.google.com/spreadsheets/d/11923uPwbBZFjjGgGUA6NLw09EwE0CqkOc4q9oUmW1yo/edit?usp=sharing"",""อุทัยธานี!J399"")"),0)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IFERROR(__xludf.DUMMYFUNCTION("IMPORTRANGE(""https://docs.google.com/spreadsheets/d/11923uPwbBZFjjGgGUA6NLw09EwE0CqkOc4q9oUmW1yo/edit?usp=sharing"",""อุทัยธานี!I400"")"),0)</f>
        <v>0</v>
      </c>
      <c r="J505" s="197">
        <f ca="1">IFERROR(__xludf.DUMMYFUNCTION("IMPORTRANGE(""https://docs.google.com/spreadsheets/d/11923uPwbBZFjjGgGUA6NLw09EwE0CqkOc4q9oUmW1yo/edit?usp=sharing"",""อุทัยธานี!J400"")"),0)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IFERROR(__xludf.DUMMYFUNCTION("IMPORTRANGE(""https://docs.google.com/spreadsheets/d/11923uPwbBZFjjGgGUA6NLw09EwE0CqkOc4q9oUmW1yo/edit?usp=sharing"",""อุทัยธานี!I401"")"),0)</f>
        <v>0</v>
      </c>
      <c r="J506" s="188">
        <f ca="1">IFERROR(__xludf.DUMMYFUNCTION("IMPORTRANGE(""https://docs.google.com/spreadsheets/d/11923uPwbBZFjjGgGUA6NLw09EwE0CqkOc4q9oUmW1yo/edit?usp=sharing"",""อุทัยธานี!J401"")"),26)</f>
        <v>26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IFERROR(__xludf.DUMMYFUNCTION("IMPORTRANGE(""https://docs.google.com/spreadsheets/d/11923uPwbBZFjjGgGUA6NLw09EwE0CqkOc4q9oUmW1yo/edit?usp=sharing"",""อุทัยธานี!I402"")"),0)</f>
        <v>0</v>
      </c>
      <c r="J507" s="197">
        <f ca="1">IFERROR(__xludf.DUMMYFUNCTION("IMPORTRANGE(""https://docs.google.com/spreadsheets/d/11923uPwbBZFjjGgGUA6NLw09EwE0CqkOc4q9oUmW1yo/edit?usp=sharing"",""อุทัยธานี!J402"")"),1)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IFERROR(__xludf.DUMMYFUNCTION("IMPORTRANGE(""https://docs.google.com/spreadsheets/d/11923uPwbBZFjjGgGUA6NLw09EwE0CqkOc4q9oUmW1yo/edit?usp=sharing"",""อุทัยธานี!I403"")"),0)</f>
        <v>0</v>
      </c>
      <c r="J508" s="162">
        <f ca="1">IFERROR(__xludf.DUMMYFUNCTION("IMPORTRANGE(""https://docs.google.com/spreadsheets/d/11923uPwbBZFjjGgGUA6NLw09EwE0CqkOc4q9oUmW1yo/edit?usp=sharing"",""อุทัยธานี!J403"")"),0)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IFERROR(__xludf.DUMMYFUNCTION("IMPORTRANGE(""https://docs.google.com/spreadsheets/d/11923uPwbBZFjjGgGUA6NLw09EwE0CqkOc4q9oUmW1yo/edit?usp=sharing"",""อุทัยธานี!I404"")"),0)</f>
        <v>0</v>
      </c>
      <c r="J509" s="162">
        <f ca="1">IFERROR(__xludf.DUMMYFUNCTION("IMPORTRANGE(""https://docs.google.com/spreadsheets/d/11923uPwbBZFjjGgGUA6NLw09EwE0CqkOc4q9oUmW1yo/edit?usp=sharing"",""อุทัยธานี!J404"")"),0)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IFERROR(__xludf.DUMMYFUNCTION("IMPORTRANGE(""https://docs.google.com/spreadsheets/d/11923uPwbBZFjjGgGUA6NLw09EwE0CqkOc4q9oUmW1yo/edit?usp=sharing"",""อุทัยธานี!I405"")"),0)</f>
        <v>0</v>
      </c>
      <c r="J510" s="197">
        <f ca="1">IFERROR(__xludf.DUMMYFUNCTION("IMPORTRANGE(""https://docs.google.com/spreadsheets/d/11923uPwbBZFjjGgGUA6NLw09EwE0CqkOc4q9oUmW1yo/edit?usp=sharing"",""อุทัยธานี!J405"")"),0)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IFERROR(__xludf.DUMMYFUNCTION("IMPORTRANGE(""https://docs.google.com/spreadsheets/d/11923uPwbBZFjjGgGUA6NLw09EwE0CqkOc4q9oUmW1yo/edit?usp=sharing"",""อุทัยธานี!I406"")"),0)</f>
        <v>0</v>
      </c>
      <c r="J511" s="197">
        <f ca="1">IFERROR(__xludf.DUMMYFUNCTION("IMPORTRANGE(""https://docs.google.com/spreadsheets/d/11923uPwbBZFjjGgGUA6NLw09EwE0CqkOc4q9oUmW1yo/edit?usp=sharing"",""อุทัยธานี!J406"")"),0)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IFERROR(__xludf.DUMMYFUNCTION("IMPORTRANGE(""https://docs.google.com/spreadsheets/d/11923uPwbBZFjjGgGUA6NLw09EwE0CqkOc4q9oUmW1yo/edit?usp=sharing"",""อุทัยธานี!I407"")"),0)</f>
        <v>0</v>
      </c>
      <c r="J512" s="197">
        <f ca="1">IFERROR(__xludf.DUMMYFUNCTION("IMPORTRANGE(""https://docs.google.com/spreadsheets/d/11923uPwbBZFjjGgGUA6NLw09EwE0CqkOc4q9oUmW1yo/edit?usp=sharing"",""อุทัยธานี!J407"")"),0)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IFERROR(__xludf.DUMMYFUNCTION("IMPORTRANGE(""https://docs.google.com/spreadsheets/d/11923uPwbBZFjjGgGUA6NLw09EwE0CqkOc4q9oUmW1yo/edit?usp=sharing"",""อุทัยธานี!I408"")"),0)</f>
        <v>0</v>
      </c>
      <c r="J513" s="197">
        <f ca="1">IFERROR(__xludf.DUMMYFUNCTION("IMPORTRANGE(""https://docs.google.com/spreadsheets/d/11923uPwbBZFjjGgGUA6NLw09EwE0CqkOc4q9oUmW1yo/edit?usp=sharing"",""อุทัยธานี!J408"")"),0)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IFERROR(__xludf.DUMMYFUNCTION("IMPORTRANGE(""https://docs.google.com/spreadsheets/d/11923uPwbBZFjjGgGUA6NLw09EwE0CqkOc4q9oUmW1yo/edit?usp=sharing"",""อุทัยธานี!I409"")"),0)</f>
        <v>0</v>
      </c>
      <c r="J514" s="197">
        <f ca="1">IFERROR(__xludf.DUMMYFUNCTION("IMPORTRANGE(""https://docs.google.com/spreadsheets/d/11923uPwbBZFjjGgGUA6NLw09EwE0CqkOc4q9oUmW1yo/edit?usp=sharing"",""อุทัยธานี!J409"")"),0)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IFERROR(__xludf.DUMMYFUNCTION("IMPORTRANGE(""https://docs.google.com/spreadsheets/d/11923uPwbBZFjjGgGUA6NLw09EwE0CqkOc4q9oUmW1yo/edit?usp=sharing"",""อุทัยธานี!I410"")"),0)</f>
        <v>0</v>
      </c>
      <c r="J515" s="197">
        <f ca="1">IFERROR(__xludf.DUMMYFUNCTION("IMPORTRANGE(""https://docs.google.com/spreadsheets/d/11923uPwbBZFjjGgGUA6NLw09EwE0CqkOc4q9oUmW1yo/edit?usp=sharing"",""อุทัยธานี!J410"")"),0)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IFERROR(__xludf.DUMMYFUNCTION("IMPORTRANGE(""https://docs.google.com/spreadsheets/d/11923uPwbBZFjjGgGUA6NLw09EwE0CqkOc4q9oUmW1yo/edit?usp=sharing"",""อุทัยธานี!I411"")"),0)</f>
        <v>0</v>
      </c>
      <c r="J516" s="266">
        <f ca="1">IFERROR(__xludf.DUMMYFUNCTION("IMPORTRANGE(""https://docs.google.com/spreadsheets/d/11923uPwbBZFjjGgGUA6NLw09EwE0CqkOc4q9oUmW1yo/edit?usp=sharing"",""อุทัยธานี!J411"")"),843)</f>
        <v>843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IFERROR(__xludf.DUMMYFUNCTION("IMPORTRANGE(""https://docs.google.com/spreadsheets/d/11923uPwbBZFjjGgGUA6NLw09EwE0CqkOc4q9oUmW1yo/edit?usp=sharing"",""อุทัยธานี!I412"")"),0)</f>
        <v>0</v>
      </c>
      <c r="J517" s="282">
        <f ca="1">IFERROR(__xludf.DUMMYFUNCTION("IMPORTRANGE(""https://docs.google.com/spreadsheets/d/11923uPwbBZFjjGgGUA6NLw09EwE0CqkOc4q9oUmW1yo/edit?usp=sharing"",""อุทัยธานี!J412"")"),0)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IFERROR(__xludf.DUMMYFUNCTION("IMPORTRANGE(""https://docs.google.com/spreadsheets/d/11923uPwbBZFjjGgGUA6NLw09EwE0CqkOc4q9oUmW1yo/edit?usp=sharing"",""อุทัยธานี!I413"")"),0)</f>
        <v>0</v>
      </c>
      <c r="J518" s="282">
        <f ca="1">IFERROR(__xludf.DUMMYFUNCTION("IMPORTRANGE(""https://docs.google.com/spreadsheets/d/11923uPwbBZFjjGgGUA6NLw09EwE0CqkOc4q9oUmW1yo/edit?usp=sharing"",""อุทัยธานี!J413"")"),0)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IFERROR(__xludf.DUMMYFUNCTION("IMPORTRANGE(""https://docs.google.com/spreadsheets/d/11923uPwbBZFjjGgGUA6NLw09EwE0CqkOc4q9oUmW1yo/edit?usp=sharing"",""อุทัยธานี!I414"")"),0)</f>
        <v>0</v>
      </c>
      <c r="J519" s="187">
        <f ca="1">IFERROR(__xludf.DUMMYFUNCTION("IMPORTRANGE(""https://docs.google.com/spreadsheets/d/11923uPwbBZFjjGgGUA6NLw09EwE0CqkOc4q9oUmW1yo/edit?usp=sharing"",""อุทัยธานี!J414"")"),0)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IFERROR(__xludf.DUMMYFUNCTION("IMPORTRANGE(""https://docs.google.com/spreadsheets/d/11923uPwbBZFjjGgGUA6NLw09EwE0CqkOc4q9oUmW1yo/edit?usp=sharing"",""อุทัยธานี!I415"")"),0)</f>
        <v>0</v>
      </c>
      <c r="J520" s="187">
        <f ca="1">IFERROR(__xludf.DUMMYFUNCTION("IMPORTRANGE(""https://docs.google.com/spreadsheets/d/11923uPwbBZFjjGgGUA6NLw09EwE0CqkOc4q9oUmW1yo/edit?usp=sharing"",""อุทัยธานี!J415"")"),0)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IFERROR(__xludf.DUMMYFUNCTION("IMPORTRANGE(""https://docs.google.com/spreadsheets/d/11923uPwbBZFjjGgGUA6NLw09EwE0CqkOc4q9oUmW1yo/edit?usp=sharing"",""อุทัยธานี!I416"")"),0)</f>
        <v>0</v>
      </c>
      <c r="J521" s="187">
        <f ca="1">IFERROR(__xludf.DUMMYFUNCTION("IMPORTRANGE(""https://docs.google.com/spreadsheets/d/11923uPwbBZFjjGgGUA6NLw09EwE0CqkOc4q9oUmW1yo/edit?usp=sharing"",""อุทัยธานี!J416"")"),0)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IFERROR(__xludf.DUMMYFUNCTION("IMPORTRANGE(""https://docs.google.com/spreadsheets/d/11923uPwbBZFjjGgGUA6NLw09EwE0CqkOc4q9oUmW1yo/edit?usp=sharing"",""อุทัยธานี!I417"")"),0)</f>
        <v>0</v>
      </c>
      <c r="J522" s="187">
        <f ca="1">IFERROR(__xludf.DUMMYFUNCTION("IMPORTRANGE(""https://docs.google.com/spreadsheets/d/11923uPwbBZFjjGgGUA6NLw09EwE0CqkOc4q9oUmW1yo/edit?usp=sharing"",""อุทัยธานี!J417"")"),0)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IFERROR(__xludf.DUMMYFUNCTION("IMPORTRANGE(""https://docs.google.com/spreadsheets/d/11923uPwbBZFjjGgGUA6NLw09EwE0CqkOc4q9oUmW1yo/edit?usp=sharing"",""อุทัยธานี!I418"")"),0)</f>
        <v>0</v>
      </c>
      <c r="J523" s="187">
        <f ca="1">IFERROR(__xludf.DUMMYFUNCTION("IMPORTRANGE(""https://docs.google.com/spreadsheets/d/11923uPwbBZFjjGgGUA6NLw09EwE0CqkOc4q9oUmW1yo/edit?usp=sharing"",""อุทัยธานี!J418"")"),843)</f>
        <v>843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IFERROR(__xludf.DUMMYFUNCTION("IMPORTRANGE(""https://docs.google.com/spreadsheets/d/11923uPwbBZFjjGgGUA6NLw09EwE0CqkOc4q9oUmW1yo/edit?usp=sharing"",""อุทัยธานี!I419"")"),0)</f>
        <v>0</v>
      </c>
      <c r="J524" s="187">
        <f ca="1">IFERROR(__xludf.DUMMYFUNCTION("IMPORTRANGE(""https://docs.google.com/spreadsheets/d/11923uPwbBZFjjGgGUA6NLw09EwE0CqkOc4q9oUmW1yo/edit?usp=sharing"",""อุทัยธานี!J419"")"),80)</f>
        <v>80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IFERROR(__xludf.DUMMYFUNCTION("IMPORTRANGE(""https://docs.google.com/spreadsheets/d/11923uPwbBZFjjGgGUA6NLw09EwE0CqkOc4q9oUmW1yo/edit?usp=sharing"",""อุทัยธานี!I420"")"),843)</f>
        <v>843</v>
      </c>
      <c r="J525" s="282">
        <f ca="1">IFERROR(__xludf.DUMMYFUNCTION("IMPORTRANGE(""https://docs.google.com/spreadsheets/d/11923uPwbBZFjjGgGUA6NLw09EwE0CqkOc4q9oUmW1yo/edit?usp=sharing"",""อุทัยธานี!J420"")"),0)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IFERROR(__xludf.DUMMYFUNCTION("IMPORTRANGE(""https://docs.google.com/spreadsheets/d/11923uPwbBZFjjGgGUA6NLw09EwE0CqkOc4q9oUmW1yo/edit?usp=sharing"",""อุทัยธานี!I421"")"),80)</f>
        <v>80</v>
      </c>
      <c r="J526" s="282">
        <f ca="1">IFERROR(__xludf.DUMMYFUNCTION("IMPORTRANGE(""https://docs.google.com/spreadsheets/d/11923uPwbBZFjjGgGUA6NLw09EwE0CqkOc4q9oUmW1yo/edit?usp=sharing"",""อุทัยธานี!J421"")"),0)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IFERROR(__xludf.DUMMYFUNCTION("IMPORTRANGE(""https://docs.google.com/spreadsheets/d/11923uPwbBZFjjGgGUA6NLw09EwE0CqkOc4q9oUmW1yo/edit?usp=sharing"",""อุทัยธานี!I422"")"),0)</f>
        <v>0</v>
      </c>
      <c r="J527" s="197">
        <f ca="1">IFERROR(__xludf.DUMMYFUNCTION("IMPORTRANGE(""https://docs.google.com/spreadsheets/d/11923uPwbBZFjjGgGUA6NLw09EwE0CqkOc4q9oUmW1yo/edit?usp=sharing"",""อุทัยธานี!J422"")"),0)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IFERROR(__xludf.DUMMYFUNCTION("IMPORTRANGE(""https://docs.google.com/spreadsheets/d/11923uPwbBZFjjGgGUA6NLw09EwE0CqkOc4q9oUmW1yo/edit?usp=sharing"",""อุทัยธานี!I423"")"),0)</f>
        <v>0</v>
      </c>
      <c r="J528" s="197">
        <f ca="1">IFERROR(__xludf.DUMMYFUNCTION("IMPORTRANGE(""https://docs.google.com/spreadsheets/d/11923uPwbBZFjjGgGUA6NLw09EwE0CqkOc4q9oUmW1yo/edit?usp=sharing"",""อุทัยธานี!J423"")"),0)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IFERROR(__xludf.DUMMYFUNCTION("IMPORTRANGE(""https://docs.google.com/spreadsheets/d/11923uPwbBZFjjGgGUA6NLw09EwE0CqkOc4q9oUmW1yo/edit?usp=sharing"",""อุทัยธานี!I424"")"),0)</f>
        <v>0</v>
      </c>
      <c r="J529" s="197">
        <f ca="1">IFERROR(__xludf.DUMMYFUNCTION("IMPORTRANGE(""https://docs.google.com/spreadsheets/d/11923uPwbBZFjjGgGUA6NLw09EwE0CqkOc4q9oUmW1yo/edit?usp=sharing"",""อุทัยธานี!J424"")"),0)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IFERROR(__xludf.DUMMYFUNCTION("IMPORTRANGE(""https://docs.google.com/spreadsheets/d/11923uPwbBZFjjGgGUA6NLw09EwE0CqkOc4q9oUmW1yo/edit?usp=sharing"",""อุทัยธานี!I425"")"),0)</f>
        <v>0</v>
      </c>
      <c r="J530" s="197">
        <f ca="1">IFERROR(__xludf.DUMMYFUNCTION("IMPORTRANGE(""https://docs.google.com/spreadsheets/d/11923uPwbBZFjjGgGUA6NLw09EwE0CqkOc4q9oUmW1yo/edit?usp=sharing"",""อุทัยธานี!J425"")"),0)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IFERROR(__xludf.DUMMYFUNCTION("IMPORTRANGE(""https://docs.google.com/spreadsheets/d/11923uPwbBZFjjGgGUA6NLw09EwE0CqkOc4q9oUmW1yo/edit?usp=sharing"",""อุทัยธานี!I426"")"),0)</f>
        <v>0</v>
      </c>
      <c r="J531" s="197">
        <f ca="1">IFERROR(__xludf.DUMMYFUNCTION("IMPORTRANGE(""https://docs.google.com/spreadsheets/d/11923uPwbBZFjjGgGUA6NLw09EwE0CqkOc4q9oUmW1yo/edit?usp=sharing"",""อุทัยธานี!J426"")"),0)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IFERROR(__xludf.DUMMYFUNCTION("IMPORTRANGE(""https://docs.google.com/spreadsheets/d/11923uPwbBZFjjGgGUA6NLw09EwE0CqkOc4q9oUmW1yo/edit?usp=sharing"",""อุทัยธานี!I427"")"),0)</f>
        <v>0</v>
      </c>
      <c r="J532" s="464">
        <f ca="1">IFERROR(__xludf.DUMMYFUNCTION("IMPORTRANGE(""https://docs.google.com/spreadsheets/d/11923uPwbBZFjjGgGUA6NLw09EwE0CqkOc4q9oUmW1yo/edit?usp=sharing"",""อุทัยธานี!J427"")"),0)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IFERROR(__xludf.DUMMYFUNCTION("IMPORTRANGE(""https://docs.google.com/spreadsheets/d/11923uPwbBZFjjGgGUA6NLw09EwE0CqkOc4q9oUmW1yo/edit?usp=sharing"",""อุทัยธานี!I428"")"),24)</f>
        <v>24</v>
      </c>
      <c r="J533" s="408">
        <f ca="1">IFERROR(__xludf.DUMMYFUNCTION("IMPORTRANGE(""https://docs.google.com/spreadsheets/d/11923uPwbBZFjjGgGUA6NLw09EwE0CqkOc4q9oUmW1yo/edit?usp=sharing"",""อุทัยธานี!J428"")"),24)</f>
        <v>24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IFERROR(__xludf.DUMMYFUNCTION("IMPORTRANGE(""https://docs.google.com/spreadsheets/d/11923uPwbBZFjjGgGUA6NLw09EwE0CqkOc4q9oUmW1yo/edit?usp=sharing"",""อุทัยธานี!L428"")"),36040)</f>
        <v>36040</v>
      </c>
      <c r="M533" s="410"/>
      <c r="N533" s="410">
        <f ca="1">IFERROR(__xludf.DUMMYFUNCTION("IMPORTRANGE(""https://docs.google.com/spreadsheets/d/11923uPwbBZFjjGgGUA6NLw09EwE0CqkOc4q9oUmW1yo/edit?usp=sharing"",""อุทัยธานี!M428"")"),30290)</f>
        <v>30290</v>
      </c>
      <c r="O533" s="410">
        <f t="shared" ref="O533:O537" ca="1" si="118">+IF(L533&gt;0,N533*100/L533,0)</f>
        <v>84.04550499445061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IFERROR(__xludf.DUMMYFUNCTION("IMPORTRANGE(""https://docs.google.com/spreadsheets/d/11923uPwbBZFjjGgGUA6NLw09EwE0CqkOc4q9oUmW1yo/edit?usp=sharing"",""อุทัยธานี!L429"")"),0)</f>
        <v>0</v>
      </c>
      <c r="M534" s="164"/>
      <c r="N534" s="168">
        <f ca="1">IFERROR(__xludf.DUMMYFUNCTION("IMPORTRANGE(""https://docs.google.com/spreadsheets/d/11923uPwbBZFjjGgGUA6NLw09EwE0CqkOc4q9oUmW1yo/edit?usp=sharing"",""อุทัยธานี!M429"")"),0)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IFERROR(__xludf.DUMMYFUNCTION("IMPORTRANGE(""https://docs.google.com/spreadsheets/d/11923uPwbBZFjjGgGUA6NLw09EwE0CqkOc4q9oUmW1yo/edit?usp=sharing"",""อุทัยธานี!L430"")"),36040)</f>
        <v>36040</v>
      </c>
      <c r="M535" s="165"/>
      <c r="N535" s="168">
        <f ca="1">IFERROR(__xludf.DUMMYFUNCTION("IMPORTRANGE(""https://docs.google.com/spreadsheets/d/11923uPwbBZFjjGgGUA6NLw09EwE0CqkOc4q9oUmW1yo/edit?usp=sharing"",""อุทัยธานี!M430"")"),30290)</f>
        <v>30290</v>
      </c>
      <c r="O535" s="168">
        <f t="shared" ca="1" si="118"/>
        <v>84.04550499445061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IFERROR(__xludf.DUMMYFUNCTION("IMPORTRANGE(""https://docs.google.com/spreadsheets/d/11923uPwbBZFjjGgGUA6NLw09EwE0CqkOc4q9oUmW1yo/edit?usp=sharing"",""อุทัยธานี!L431"")"),0)</f>
        <v>0</v>
      </c>
      <c r="M536" s="168"/>
      <c r="N536" s="168">
        <f ca="1">IFERROR(__xludf.DUMMYFUNCTION("IMPORTRANGE(""https://docs.google.com/spreadsheets/d/11923uPwbBZFjjGgGUA6NLw09EwE0CqkOc4q9oUmW1yo/edit?usp=sharing"",""อุทัยธานี!M431"")"),0)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IFERROR(__xludf.DUMMYFUNCTION("IMPORTRANGE(""https://docs.google.com/spreadsheets/d/11923uPwbBZFjjGgGUA6NLw09EwE0CqkOc4q9oUmW1yo/edit?usp=sharing"",""อุทัยธานี!L432"")"),36040)</f>
        <v>36040</v>
      </c>
      <c r="M537" s="168"/>
      <c r="N537" s="168">
        <f ca="1">IFERROR(__xludf.DUMMYFUNCTION("IMPORTRANGE(""https://docs.google.com/spreadsheets/d/11923uPwbBZFjjGgGUA6NLw09EwE0CqkOc4q9oUmW1yo/edit?usp=sharing"",""อุทัยธานี!M432"")"),30290)</f>
        <v>30290</v>
      </c>
      <c r="O537" s="168">
        <f t="shared" ca="1" si="118"/>
        <v>84.04550499445061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IFERROR(__xludf.DUMMYFUNCTION("IMPORTRANGE(""https://docs.google.com/spreadsheets/d/11923uPwbBZFjjGgGUA6NLw09EwE0CqkOc4q9oUmW1yo/edit?usp=sharing"",""อุทัยธานี!M433"")"),20440)</f>
        <v>20440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IFERROR(__xludf.DUMMYFUNCTION("IMPORTRANGE(""https://docs.google.com/spreadsheets/d/11923uPwbBZFjjGgGUA6NLw09EwE0CqkOc4q9oUmW1yo/edit?usp=sharing"",""อุทัยธานี!M434"")"),0)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IFERROR(__xludf.DUMMYFUNCTION("IMPORTRANGE(""https://docs.google.com/spreadsheets/d/11923uPwbBZFjjGgGUA6NLw09EwE0CqkOc4q9oUmW1yo/edit?usp=sharing"",""อุทัยธานี!M435"")"),0)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IFERROR(__xludf.DUMMYFUNCTION("IMPORTRANGE(""https://docs.google.com/spreadsheets/d/11923uPwbBZFjjGgGUA6NLw09EwE0CqkOc4q9oUmW1yo/edit?usp=sharing"",""อุทัยธานี!M436"")"),9850)</f>
        <v>9850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IFERROR(__xludf.DUMMYFUNCTION("IMPORTRANGE(""https://docs.google.com/spreadsheets/d/11923uPwbBZFjjGgGUA6NLw09EwE0CqkOc4q9oUmW1yo/edit?usp=sharing"",""อุทัยธานี!J438"")"),0)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IFERROR(__xludf.DUMMYFUNCTION("IMPORTRANGE(""https://docs.google.com/spreadsheets/d/11923uPwbBZFjjGgGUA6NLw09EwE0CqkOc4q9oUmW1yo/edit?usp=sharing"",""อุทัยธานี!J439"")"),1)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IFERROR(__xludf.DUMMYFUNCTION("IMPORTRANGE(""https://docs.google.com/spreadsheets/d/11923uPwbBZFjjGgGUA6NLw09EwE0CqkOc4q9oUmW1yo/edit?usp=sharing"",""อุทัยธานี!J440"")"),1)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IFERROR(__xludf.DUMMYFUNCTION("IMPORTRANGE(""https://docs.google.com/spreadsheets/d/11923uPwbBZFjjGgGUA6NLw09EwE0CqkOc4q9oUmW1yo/edit?usp=sharing"",""อุทัยธานี!J441"")"),1)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IFERROR(__xludf.DUMMYFUNCTION("IMPORTRANGE(""https://docs.google.com/spreadsheets/d/11923uPwbBZFjjGgGUA6NLw09EwE0CqkOc4q9oUmW1yo/edit?usp=sharing"",""อุทัยธานี!I442"")"),24)</f>
        <v>24</v>
      </c>
      <c r="J547" s="188">
        <f ca="1">IFERROR(__xludf.DUMMYFUNCTION("IMPORTRANGE(""https://docs.google.com/spreadsheets/d/11923uPwbBZFjjGgGUA6NLw09EwE0CqkOc4q9oUmW1yo/edit?usp=sharing"",""อุทัยธานี!J442"")"),24)</f>
        <v>24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IFERROR(__xludf.DUMMYFUNCTION("IMPORTRANGE(""https://docs.google.com/spreadsheets/d/11923uPwbBZFjjGgGUA6NLw09EwE0CqkOc4q9oUmW1yo/edit?usp=sharing"",""อุทัยธานี!J166"")"),0)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IFERROR(__xludf.DUMMYFUNCTION("IMPORTRANGE(""https://docs.google.com/spreadsheets/d/11923uPwbBZFjjGgGUA6NLw09EwE0CqkOc4q9oUmW1yo/edit?usp=sharing"",""อุทัยธานี!J444"")"),0)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IFERROR(__xludf.DUMMYFUNCTION("IMPORTRANGE(""https://docs.google.com/spreadsheets/d/11923uPwbBZFjjGgGUA6NLw09EwE0CqkOc4q9oUmW1yo/edit?usp=sharing"",""อุทัยธานี!J445"")"),0)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IFERROR(__xludf.DUMMYFUNCTION("IMPORTRANGE(""https://docs.google.com/spreadsheets/d/11923uPwbBZFjjGgGUA6NLw09EwE0CqkOc4q9oUmW1yo/edit?usp=sharing"",""อุทัยธานี!I446"")"),0)</f>
        <v>0</v>
      </c>
      <c r="J551" s="408">
        <f ca="1">IFERROR(__xludf.DUMMYFUNCTION("IMPORTRANGE(""https://docs.google.com/spreadsheets/d/11923uPwbBZFjjGgGUA6NLw09EwE0CqkOc4q9oUmW1yo/edit?usp=sharing"",""อุทัยธานี!J446"")"),0)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IFERROR(__xludf.DUMMYFUNCTION("IMPORTRANGE(""https://docs.google.com/spreadsheets/d/11923uPwbBZFjjGgGUA6NLw09EwE0CqkOc4q9oUmW1yo/edit?usp=sharing"",""อุทัยธานี!L446"")"),0)</f>
        <v>0</v>
      </c>
      <c r="M551" s="410"/>
      <c r="N551" s="410">
        <f ca="1">IFERROR(__xludf.DUMMYFUNCTION("IMPORTRANGE(""https://docs.google.com/spreadsheets/d/11923uPwbBZFjjGgGUA6NLw09EwE0CqkOc4q9oUmW1yo/edit?usp=sharing"",""อุทัยธานี!M446"")"),0)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IFERROR(__xludf.DUMMYFUNCTION("IMPORTRANGE(""https://docs.google.com/spreadsheets/d/11923uPwbBZFjjGgGUA6NLw09EwE0CqkOc4q9oUmW1yo/edit?usp=sharing"",""อุทัยธานี!L447"")"),0)</f>
        <v>0</v>
      </c>
      <c r="M552" s="164"/>
      <c r="N552" s="168">
        <f ca="1">IFERROR(__xludf.DUMMYFUNCTION("IMPORTRANGE(""https://docs.google.com/spreadsheets/d/11923uPwbBZFjjGgGUA6NLw09EwE0CqkOc4q9oUmW1yo/edit?usp=sharing"",""อุทัยธานี!M447"")"),0)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IFERROR(__xludf.DUMMYFUNCTION("IMPORTRANGE(""https://docs.google.com/spreadsheets/d/11923uPwbBZFjjGgGUA6NLw09EwE0CqkOc4q9oUmW1yo/edit?usp=sharing"",""อุทัยธานี!L448"")"),0)</f>
        <v>0</v>
      </c>
      <c r="M553" s="165"/>
      <c r="N553" s="168">
        <f ca="1">IFERROR(__xludf.DUMMYFUNCTION("IMPORTRANGE(""https://docs.google.com/spreadsheets/d/11923uPwbBZFjjGgGUA6NLw09EwE0CqkOc4q9oUmW1yo/edit?usp=sharing"",""อุทัยธานี!M448"")"),0)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IFERROR(__xludf.DUMMYFUNCTION("IMPORTRANGE(""https://docs.google.com/spreadsheets/d/11923uPwbBZFjjGgGUA6NLw09EwE0CqkOc4q9oUmW1yo/edit?usp=sharing"",""อุทัยธานี!L449"")"),0)</f>
        <v>0</v>
      </c>
      <c r="M554" s="168"/>
      <c r="N554" s="168">
        <f ca="1">IFERROR(__xludf.DUMMYFUNCTION("IMPORTRANGE(""https://docs.google.com/spreadsheets/d/11923uPwbBZFjjGgGUA6NLw09EwE0CqkOc4q9oUmW1yo/edit?usp=sharing"",""อุทัยธานี!M449"")"),0)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IFERROR(__xludf.DUMMYFUNCTION("IMPORTRANGE(""https://docs.google.com/spreadsheets/d/11923uPwbBZFjjGgGUA6NLw09EwE0CqkOc4q9oUmW1yo/edit?usp=sharing"",""อุทัยธานี!L450"")"),0)</f>
        <v>0</v>
      </c>
      <c r="M555" s="168"/>
      <c r="N555" s="168">
        <f ca="1">IFERROR(__xludf.DUMMYFUNCTION("IMPORTRANGE(""https://docs.google.com/spreadsheets/d/11923uPwbBZFjjGgGUA6NLw09EwE0CqkOc4q9oUmW1yo/edit?usp=sharing"",""อุทัยธานี!M450"")"),0)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IFERROR(__xludf.DUMMYFUNCTION("IMPORTRANGE(""https://docs.google.com/spreadsheets/d/11923uPwbBZFjjGgGUA6NLw09EwE0CqkOc4q9oUmW1yo/edit?usp=sharing"",""อุทัยธานี!M451"")"),0)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IFERROR(__xludf.DUMMYFUNCTION("IMPORTRANGE(""https://docs.google.com/spreadsheets/d/11923uPwbBZFjjGgGUA6NLw09EwE0CqkOc4q9oUmW1yo/edit?usp=sharing"",""อุทัยธานี!M452"")"),0)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IFERROR(__xludf.DUMMYFUNCTION("IMPORTRANGE(""https://docs.google.com/spreadsheets/d/11923uPwbBZFjjGgGUA6NLw09EwE0CqkOc4q9oUmW1yo/edit?usp=sharing"",""อุทัยธานี!M453"")"),0)</f>
        <v>0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IFERROR(__xludf.DUMMYFUNCTION("IMPORTRANGE(""https://docs.google.com/spreadsheets/d/11923uPwbBZFjjGgGUA6NLw09EwE0CqkOc4q9oUmW1yo/edit?usp=sharing"",""อุทัยธานี!M454"")"),0)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IFERROR(__xludf.DUMMYFUNCTION("IMPORTRANGE(""https://docs.google.com/spreadsheets/d/11923uPwbBZFjjGgGUA6NLw09EwE0CqkOc4q9oUmW1yo/edit?usp=sharing"",""อุทัยธานี!I455"")"),0)</f>
        <v>0</v>
      </c>
      <c r="J560" s="162">
        <f ca="1">IFERROR(__xludf.DUMMYFUNCTION("IMPORTRANGE(""https://docs.google.com/spreadsheets/d/11923uPwbBZFjjGgGUA6NLw09EwE0CqkOc4q9oUmW1yo/edit?usp=sharing"",""อุทัยธานี!J455"")"),0)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IFERROR(__xludf.DUMMYFUNCTION("IMPORTRANGE(""https://docs.google.com/spreadsheets/d/11923uPwbBZFjjGgGUA6NLw09EwE0CqkOc4q9oUmW1yo/edit?usp=sharing"",""อุทัยธานี!I456"")"),0)</f>
        <v>0</v>
      </c>
      <c r="J561" s="203">
        <f ca="1">IFERROR(__xludf.DUMMYFUNCTION("IMPORTRANGE(""https://docs.google.com/spreadsheets/d/11923uPwbBZFjjGgGUA6NLw09EwE0CqkOc4q9oUmW1yo/edit?usp=sharing"",""อุทัยธานี!J456"")"),0)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f ca="1">IFERROR(__xludf.DUMMYFUNCTION("IMPORTRANGE(""https://docs.google.com/spreadsheets/d/11923uPwbBZFjjGgGUA6NLw09EwE0CqkOc4q9oUmW1yo/edit?usp=sharing"",""อุทัยธานี!I457"")"),0)</f>
        <v>0</v>
      </c>
      <c r="J562" s="203" t="str">
        <f ca="1">IFERROR(__xludf.DUMMYFUNCTION("IMPORTRANGE(""https://docs.google.com/spreadsheets/d/11923uPwbBZFjjGgGUA6NLw09EwE0CqkOc4q9oUmW1yo/edit?usp=sharing"",""อุทัยธานี!J457"")"),"")</f>
        <v/>
      </c>
      <c r="K562" s="163">
        <f t="shared" ca="1" si="121"/>
        <v>0</v>
      </c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f ca="1">IFERROR(__xludf.DUMMYFUNCTION("IMPORTRANGE(""https://docs.google.com/spreadsheets/d/11923uPwbBZFjjGgGUA6NLw09EwE0CqkOc4q9oUmW1yo/edit?usp=sharing"",""อุทัยธานี!I458"")"),0)</f>
        <v>0</v>
      </c>
      <c r="J563" s="187" t="str">
        <f ca="1">IFERROR(__xludf.DUMMYFUNCTION("IMPORTRANGE(""https://docs.google.com/spreadsheets/d/11923uPwbBZFjjGgGUA6NLw09EwE0CqkOc4q9oUmW1yo/edit?usp=sharing"",""อุทัยธานี!J458"")"),"")</f>
        <v/>
      </c>
      <c r="K563" s="163">
        <f t="shared" ca="1" si="121"/>
        <v>0</v>
      </c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IFERROR(__xludf.DUMMYFUNCTION("IMPORTRANGE(""https://docs.google.com/spreadsheets/d/11923uPwbBZFjjGgGUA6NLw09EwE0CqkOc4q9oUmW1yo/edit?usp=sharing"",""อุทัยธานี!I459"")"),1550)</f>
        <v>1550</v>
      </c>
      <c r="J564" s="369">
        <f ca="1">IFERROR(__xludf.DUMMYFUNCTION("IMPORTRANGE(""https://docs.google.com/spreadsheets/d/11923uPwbBZFjjGgGUA6NLw09EwE0CqkOc4q9oUmW1yo/edit?usp=sharing"",""อุทัยธานี!J459"")"),975)</f>
        <v>975</v>
      </c>
      <c r="K564" s="370">
        <f t="shared" ca="1" si="121"/>
        <v>62.903225806451616</v>
      </c>
      <c r="L564" s="371">
        <f ca="1">IFERROR(__xludf.DUMMYFUNCTION("IMPORTRANGE(""https://docs.google.com/spreadsheets/d/11923uPwbBZFjjGgGUA6NLw09EwE0CqkOc4q9oUmW1yo/edit?usp=sharing"",""อุทัยธานี!L459"")"),136880)</f>
        <v>136880</v>
      </c>
      <c r="M564" s="371"/>
      <c r="N564" s="371">
        <f ca="1">IFERROR(__xludf.DUMMYFUNCTION("IMPORTRANGE(""https://docs.google.com/spreadsheets/d/11923uPwbBZFjjGgGUA6NLw09EwE0CqkOc4q9oUmW1yo/edit?usp=sharing"",""อุทัยธานี!M459"")"),53342.33)</f>
        <v>53342.33</v>
      </c>
      <c r="O564" s="371">
        <f t="shared" ref="O564:O568" ca="1" si="122">+IF(L564&gt;0,N564*100/L564,0)</f>
        <v>38.970141729982466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IFERROR(__xludf.DUMMYFUNCTION("IMPORTRANGE(""https://docs.google.com/spreadsheets/d/11923uPwbBZFjjGgGUA6NLw09EwE0CqkOc4q9oUmW1yo/edit?usp=sharing"",""อุทัยธานี!L460"")"),0)</f>
        <v>0</v>
      </c>
      <c r="M565" s="164"/>
      <c r="N565" s="168">
        <f ca="1">IFERROR(__xludf.DUMMYFUNCTION("IMPORTRANGE(""https://docs.google.com/spreadsheets/d/11923uPwbBZFjjGgGUA6NLw09EwE0CqkOc4q9oUmW1yo/edit?usp=sharing"",""อุทัยธานี!M460"")"),0)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IFERROR(__xludf.DUMMYFUNCTION("IMPORTRANGE(""https://docs.google.com/spreadsheets/d/11923uPwbBZFjjGgGUA6NLw09EwE0CqkOc4q9oUmW1yo/edit?usp=sharing"",""อุทัยธานี!L461"")"),136880)</f>
        <v>136880</v>
      </c>
      <c r="M566" s="165"/>
      <c r="N566" s="168">
        <f ca="1">IFERROR(__xludf.DUMMYFUNCTION("IMPORTRANGE(""https://docs.google.com/spreadsheets/d/11923uPwbBZFjjGgGUA6NLw09EwE0CqkOc4q9oUmW1yo/edit?usp=sharing"",""อุทัยธานี!M461"")"),53342.33)</f>
        <v>53342.33</v>
      </c>
      <c r="O566" s="168">
        <f t="shared" ca="1" si="122"/>
        <v>38.970141729982466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IFERROR(__xludf.DUMMYFUNCTION("IMPORTRANGE(""https://docs.google.com/spreadsheets/d/11923uPwbBZFjjGgGUA6NLw09EwE0CqkOc4q9oUmW1yo/edit?usp=sharing"",""อุทัยธานี!L462"")"),0)</f>
        <v>0</v>
      </c>
      <c r="M567" s="168"/>
      <c r="N567" s="168">
        <f ca="1">IFERROR(__xludf.DUMMYFUNCTION("IMPORTRANGE(""https://docs.google.com/spreadsheets/d/11923uPwbBZFjjGgGUA6NLw09EwE0CqkOc4q9oUmW1yo/edit?usp=sharing"",""อุทัยธานี!M462"")"),0)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IFERROR(__xludf.DUMMYFUNCTION("IMPORTRANGE(""https://docs.google.com/spreadsheets/d/11923uPwbBZFjjGgGUA6NLw09EwE0CqkOc4q9oUmW1yo/edit?usp=sharing"",""อุทัยธานี!L463"")"),136880)</f>
        <v>136880</v>
      </c>
      <c r="M568" s="168"/>
      <c r="N568" s="168">
        <f ca="1">IFERROR(__xludf.DUMMYFUNCTION("IMPORTRANGE(""https://docs.google.com/spreadsheets/d/11923uPwbBZFjjGgGUA6NLw09EwE0CqkOc4q9oUmW1yo/edit?usp=sharing"",""อุทัยธานี!M463"")"),53342.33)</f>
        <v>53342.33</v>
      </c>
      <c r="O568" s="168">
        <f t="shared" ca="1" si="122"/>
        <v>38.970141729982466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IFERROR(__xludf.DUMMYFUNCTION("IMPORTRANGE(""https://docs.google.com/spreadsheets/d/11923uPwbBZFjjGgGUA6NLw09EwE0CqkOc4q9oUmW1yo/edit?usp=sharing"",""อุทัยธานี!M464"")"),0)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IFERROR(__xludf.DUMMYFUNCTION("IMPORTRANGE(""https://docs.google.com/spreadsheets/d/11923uPwbBZFjjGgGUA6NLw09EwE0CqkOc4q9oUmW1yo/edit?usp=sharing"",""อุทัยธานี!M465"")"),0)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IFERROR(__xludf.DUMMYFUNCTION("IMPORTRANGE(""https://docs.google.com/spreadsheets/d/11923uPwbBZFjjGgGUA6NLw09EwE0CqkOc4q9oUmW1yo/edit?usp=sharing"",""อุทัยธานี!M466"")"),40729.33)</f>
        <v>40729.33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IFERROR(__xludf.DUMMYFUNCTION("IMPORTRANGE(""https://docs.google.com/spreadsheets/d/11923uPwbBZFjjGgGUA6NLw09EwE0CqkOc4q9oUmW1yo/edit?usp=sharing"",""อุทัยธานี!M467"")"),12613)</f>
        <v>12613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IFERROR(__xludf.DUMMYFUNCTION("IMPORTRANGE(""https://docs.google.com/spreadsheets/d/11923uPwbBZFjjGgGUA6NLw09EwE0CqkOc4q9oUmW1yo/edit?usp=sharing"",""อุทัยธานี!I468"")"),1550)</f>
        <v>1550</v>
      </c>
      <c r="J573" s="418">
        <f ca="1">IFERROR(__xludf.DUMMYFUNCTION("IMPORTRANGE(""https://docs.google.com/spreadsheets/d/11923uPwbBZFjjGgGUA6NLw09EwE0CqkOc4q9oUmW1yo/edit?usp=sharing"",""อุทัยธานี!J468"")"),975)</f>
        <v>975</v>
      </c>
      <c r="K573" s="201">
        <f ca="1">IF(I573&gt;0,J573*100/I573,0)</f>
        <v>62.903225806451616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IFERROR(__xludf.DUMMYFUNCTION("IMPORTRANGE(""https://docs.google.com/spreadsheets/d/11923uPwbBZFjjGgGUA6NLw09EwE0CqkOc4q9oUmW1yo/edit?usp=sharing"",""อุทัยธานี!I470"")"),0)</f>
        <v>0</v>
      </c>
      <c r="J575" s="197">
        <f ca="1">IFERROR(__xludf.DUMMYFUNCTION("IMPORTRANGE(""https://docs.google.com/spreadsheets/d/11923uPwbBZFjjGgGUA6NLw09EwE0CqkOc4q9oUmW1yo/edit?usp=sharing"",""อุทัยธานี!J470"")"),4)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IFERROR(__xludf.DUMMYFUNCTION("IMPORTRANGE(""https://docs.google.com/spreadsheets/d/11923uPwbBZFjjGgGUA6NLw09EwE0CqkOc4q9oUmW1yo/edit?usp=sharing"",""อุทัยธานี!I471"")"),0)</f>
        <v>0</v>
      </c>
      <c r="J576" s="197">
        <f ca="1">IFERROR(__xludf.DUMMYFUNCTION("IMPORTRANGE(""https://docs.google.com/spreadsheets/d/11923uPwbBZFjjGgGUA6NLw09EwE0CqkOc4q9oUmW1yo/edit?usp=sharing"",""อุทัยธานี!J471"")"),225)</f>
        <v>225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IFERROR(__xludf.DUMMYFUNCTION("IMPORTRANGE(""https://docs.google.com/spreadsheets/d/11923uPwbBZFjjGgGUA6NLw09EwE0CqkOc4q9oUmW1yo/edit?usp=sharing"",""อุทัยธานี!I472"")"),0)</f>
        <v>0</v>
      </c>
      <c r="J577" s="188">
        <f ca="1">IFERROR(__xludf.DUMMYFUNCTION("IMPORTRANGE(""https://docs.google.com/spreadsheets/d/11923uPwbBZFjjGgGUA6NLw09EwE0CqkOc4q9oUmW1yo/edit?usp=sharing"",""อุทัยธานี!J472"")"),750)</f>
        <v>750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IFERROR(__xludf.DUMMYFUNCTION("IMPORTRANGE(""https://docs.google.com/spreadsheets/d/11923uPwbBZFjjGgGUA6NLw09EwE0CqkOc4q9oUmW1yo/edit?usp=sharing"",""อุทัยธานี!I473"")"),0)</f>
        <v>0</v>
      </c>
      <c r="J578" s="197">
        <f ca="1">IFERROR(__xludf.DUMMYFUNCTION("IMPORTRANGE(""https://docs.google.com/spreadsheets/d/11923uPwbBZFjjGgGUA6NLw09EwE0CqkOc4q9oUmW1yo/edit?usp=sharing"",""อุทัยธานี!J473"")"),0)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IFERROR(__xludf.DUMMYFUNCTION("IMPORTRANGE(""https://docs.google.com/spreadsheets/d/11923uPwbBZFjjGgGUA6NLw09EwE0CqkOc4q9oUmW1yo/edit?usp=sharing"",""อุทัยธานี!I474"")"),0)</f>
        <v>0</v>
      </c>
      <c r="J579" s="197">
        <f ca="1">IFERROR(__xludf.DUMMYFUNCTION("IMPORTRANGE(""https://docs.google.com/spreadsheets/d/11923uPwbBZFjjGgGUA6NLw09EwE0CqkOc4q9oUmW1yo/edit?usp=sharing"",""อุทัยธานี!J474"")"),0)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IFERROR(__xludf.DUMMYFUNCTION("IMPORTRANGE(""https://docs.google.com/spreadsheets/d/11923uPwbBZFjjGgGUA6NLw09EwE0CqkOc4q9oUmW1yo/edit?usp=sharing"",""อุทัยธานี!I475"")"),7)</f>
        <v>7</v>
      </c>
      <c r="J580" s="369">
        <f ca="1">IFERROR(__xludf.DUMMYFUNCTION("IMPORTRANGE(""https://docs.google.com/spreadsheets/d/11923uPwbBZFjjGgGUA6NLw09EwE0CqkOc4q9oUmW1yo/edit?usp=sharing"",""อุทัยธานี!J475"")"),2)</f>
        <v>2</v>
      </c>
      <c r="K580" s="370">
        <f ca="1">IF(I580&gt;0,J580*100/I580,0)</f>
        <v>28.571428571428573</v>
      </c>
      <c r="L580" s="371">
        <f ca="1">IFERROR(__xludf.DUMMYFUNCTION("IMPORTRANGE(""https://docs.google.com/spreadsheets/d/11923uPwbBZFjjGgGUA6NLw09EwE0CqkOc4q9oUmW1yo/edit?usp=sharing"",""อุทัยธานี!L475"")"),111857)</f>
        <v>111857</v>
      </c>
      <c r="M580" s="371"/>
      <c r="N580" s="371">
        <f ca="1">IFERROR(__xludf.DUMMYFUNCTION("IMPORTRANGE(""https://docs.google.com/spreadsheets/d/11923uPwbBZFjjGgGUA6NLw09EwE0CqkOc4q9oUmW1yo/edit?usp=sharing"",""อุทัยธานี!M475"")"),3830)</f>
        <v>3830</v>
      </c>
      <c r="O580" s="371">
        <f t="shared" ref="O580:O584" ca="1" si="124">+IF(L580&gt;0,N580*100/L580,0)</f>
        <v>3.4240145900569479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IFERROR(__xludf.DUMMYFUNCTION("IMPORTRANGE(""https://docs.google.com/spreadsheets/d/11923uPwbBZFjjGgGUA6NLw09EwE0CqkOc4q9oUmW1yo/edit?usp=sharing"",""อุทัยธานี!L476"")"),0)</f>
        <v>0</v>
      </c>
      <c r="M581" s="164"/>
      <c r="N581" s="168">
        <f ca="1">IFERROR(__xludf.DUMMYFUNCTION("IMPORTRANGE(""https://docs.google.com/spreadsheets/d/11923uPwbBZFjjGgGUA6NLw09EwE0CqkOc4q9oUmW1yo/edit?usp=sharing"",""อุทัยธานี!M476"")"),0)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IFERROR(__xludf.DUMMYFUNCTION("IMPORTRANGE(""https://docs.google.com/spreadsheets/d/11923uPwbBZFjjGgGUA6NLw09EwE0CqkOc4q9oUmW1yo/edit?usp=sharing"",""อุทัยธานี!L477"")"),111857)</f>
        <v>111857</v>
      </c>
      <c r="M582" s="165"/>
      <c r="N582" s="168">
        <f ca="1">IFERROR(__xludf.DUMMYFUNCTION("IMPORTRANGE(""https://docs.google.com/spreadsheets/d/11923uPwbBZFjjGgGUA6NLw09EwE0CqkOc4q9oUmW1yo/edit?usp=sharing"",""อุทัยธานี!M477"")"),3830)</f>
        <v>3830</v>
      </c>
      <c r="O582" s="168">
        <f t="shared" ca="1" si="124"/>
        <v>3.4240145900569479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IFERROR(__xludf.DUMMYFUNCTION("IMPORTRANGE(""https://docs.google.com/spreadsheets/d/11923uPwbBZFjjGgGUA6NLw09EwE0CqkOc4q9oUmW1yo/edit?usp=sharing"",""อุทัยธานี!L478"")"),0)</f>
        <v>0</v>
      </c>
      <c r="M583" s="168"/>
      <c r="N583" s="168">
        <f ca="1">IFERROR(__xludf.DUMMYFUNCTION("IMPORTRANGE(""https://docs.google.com/spreadsheets/d/11923uPwbBZFjjGgGUA6NLw09EwE0CqkOc4q9oUmW1yo/edit?usp=sharing"",""อุทัยธานี!M478"")"),0)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IFERROR(__xludf.DUMMYFUNCTION("IMPORTRANGE(""https://docs.google.com/spreadsheets/d/11923uPwbBZFjjGgGUA6NLw09EwE0CqkOc4q9oUmW1yo/edit?usp=sharing"",""อุทัยธานี!L479"")"),111857)</f>
        <v>111857</v>
      </c>
      <c r="M584" s="168"/>
      <c r="N584" s="168">
        <f ca="1">IFERROR(__xludf.DUMMYFUNCTION("IMPORTRANGE(""https://docs.google.com/spreadsheets/d/11923uPwbBZFjjGgGUA6NLw09EwE0CqkOc4q9oUmW1yo/edit?usp=sharing"",""อุทัยธานี!M479"")"),3830)</f>
        <v>3830</v>
      </c>
      <c r="O584" s="168">
        <f t="shared" ca="1" si="124"/>
        <v>3.4240145900569479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IFERROR(__xludf.DUMMYFUNCTION("IMPORTRANGE(""https://docs.google.com/spreadsheets/d/11923uPwbBZFjjGgGUA6NLw09EwE0CqkOc4q9oUmW1yo/edit?usp=sharing"",""อุทัยธานี!M480"")"),0)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IFERROR(__xludf.DUMMYFUNCTION("IMPORTRANGE(""https://docs.google.com/spreadsheets/d/11923uPwbBZFjjGgGUA6NLw09EwE0CqkOc4q9oUmW1yo/edit?usp=sharing"",""อุทัยธานี!M481"")"),0)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IFERROR(__xludf.DUMMYFUNCTION("IMPORTRANGE(""https://docs.google.com/spreadsheets/d/11923uPwbBZFjjGgGUA6NLw09EwE0CqkOc4q9oUmW1yo/edit?usp=sharing"",""อุทัยธานี!M482"")"),0)</f>
        <v>0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IFERROR(__xludf.DUMMYFUNCTION("IMPORTRANGE(""https://docs.google.com/spreadsheets/d/11923uPwbBZFjjGgGUA6NLw09EwE0CqkOc4q9oUmW1yo/edit?usp=sharing"",""อุทัยธานี!M483"")"),3830)</f>
        <v>3830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IFERROR(__xludf.DUMMYFUNCTION("IMPORTRANGE(""https://docs.google.com/spreadsheets/d/11923uPwbBZFjjGgGUA6NLw09EwE0CqkOc4q9oUmW1yo/edit?usp=sharing"",""อุทัยธานี!I484"")"),7)</f>
        <v>7</v>
      </c>
      <c r="J589" s="187">
        <f ca="1">IFERROR(__xludf.DUMMYFUNCTION("IMPORTRANGE(""https://docs.google.com/spreadsheets/d/11923uPwbBZFjjGgGUA6NLw09EwE0CqkOc4q9oUmW1yo/edit?usp=sharing"",""อุทัยธานี!J484"")"),4)</f>
        <v>4</v>
      </c>
      <c r="K589" s="163">
        <f t="shared" ref="K589:K596" ca="1" si="125">IF(I589&gt;0,J589*100/I589,0)</f>
        <v>57.142857142857146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IFERROR(__xludf.DUMMYFUNCTION("IMPORTRANGE(""https://docs.google.com/spreadsheets/d/11923uPwbBZFjjGgGUA6NLw09EwE0CqkOc4q9oUmW1yo/edit?usp=sharing"",""อุทัยธานี!I485"")"),0)</f>
        <v>0</v>
      </c>
      <c r="J590" s="187">
        <f ca="1">IFERROR(__xludf.DUMMYFUNCTION("IMPORTRANGE(""https://docs.google.com/spreadsheets/d/11923uPwbBZFjjGgGUA6NLw09EwE0CqkOc4q9oUmW1yo/edit?usp=sharing"",""อุทัยธานี!J485"")"),3.02)</f>
        <v>3.02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IFERROR(__xludf.DUMMYFUNCTION("IMPORTRANGE(""https://docs.google.com/spreadsheets/d/11923uPwbBZFjjGgGUA6NLw09EwE0CqkOc4q9oUmW1yo/edit?usp=sharing"",""อุทัยธานี!I486"")"),7)</f>
        <v>7</v>
      </c>
      <c r="J591" s="187">
        <f ca="1">IFERROR(__xludf.DUMMYFUNCTION("IMPORTRANGE(""https://docs.google.com/spreadsheets/d/11923uPwbBZFjjGgGUA6NLw09EwE0CqkOc4q9oUmW1yo/edit?usp=sharing"",""อุทัยธานี!J486"")"),6)</f>
        <v>6</v>
      </c>
      <c r="K591" s="163">
        <f t="shared" ca="1" si="125"/>
        <v>85.714285714285708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IFERROR(__xludf.DUMMYFUNCTION("IMPORTRANGE(""https://docs.google.com/spreadsheets/d/11923uPwbBZFjjGgGUA6NLw09EwE0CqkOc4q9oUmW1yo/edit?usp=sharing"",""อุทัยธานี!I487"")"),0)</f>
        <v>0</v>
      </c>
      <c r="J592" s="187">
        <f ca="1">IFERROR(__xludf.DUMMYFUNCTION("IMPORTRANGE(""https://docs.google.com/spreadsheets/d/11923uPwbBZFjjGgGUA6NLw09EwE0CqkOc4q9oUmW1yo/edit?usp=sharing"",""อุทัยธานี!J487"")"),4.33)</f>
        <v>4.33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IFERROR(__xludf.DUMMYFUNCTION("IMPORTRANGE(""https://docs.google.com/spreadsheets/d/11923uPwbBZFjjGgGUA6NLw09EwE0CqkOc4q9oUmW1yo/edit?usp=sharing"",""อุทัยธานี!I488"")"),7)</f>
        <v>7</v>
      </c>
      <c r="J593" s="187">
        <f ca="1">IFERROR(__xludf.DUMMYFUNCTION("IMPORTRANGE(""https://docs.google.com/spreadsheets/d/11923uPwbBZFjjGgGUA6NLw09EwE0CqkOc4q9oUmW1yo/edit?usp=sharing"",""อุทัยธานี!J488"")"),4)</f>
        <v>4</v>
      </c>
      <c r="K593" s="163">
        <f t="shared" ca="1" si="125"/>
        <v>57.142857142857146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IFERROR(__xludf.DUMMYFUNCTION("IMPORTRANGE(""https://docs.google.com/spreadsheets/d/11923uPwbBZFjjGgGUA6NLw09EwE0CqkOc4q9oUmW1yo/edit?usp=sharing"",""อุทัยธานี!I489"")"),0)</f>
        <v>0</v>
      </c>
      <c r="J594" s="187">
        <f ca="1">IFERROR(__xludf.DUMMYFUNCTION("IMPORTRANGE(""https://docs.google.com/spreadsheets/d/11923uPwbBZFjjGgGUA6NLw09EwE0CqkOc4q9oUmW1yo/edit?usp=sharing"",""อุทัยธานี!J489"")"),3.07)</f>
        <v>3.07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IFERROR(__xludf.DUMMYFUNCTION("IMPORTRANGE(""https://docs.google.com/spreadsheets/d/11923uPwbBZFjjGgGUA6NLw09EwE0CqkOc4q9oUmW1yo/edit?usp=sharing"",""อุทัยธานี!I490"")"),7)</f>
        <v>7</v>
      </c>
      <c r="J595" s="187">
        <f ca="1">IFERROR(__xludf.DUMMYFUNCTION("IMPORTRANGE(""https://docs.google.com/spreadsheets/d/11923uPwbBZFjjGgGUA6NLw09EwE0CqkOc4q9oUmW1yo/edit?usp=sharing"",""อุทัยธานี!J490"")"),2)</f>
        <v>2</v>
      </c>
      <c r="K595" s="163">
        <f t="shared" ca="1" si="125"/>
        <v>28.571428571428573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IFERROR(__xludf.DUMMYFUNCTION("IMPORTRANGE(""https://docs.google.com/spreadsheets/d/11923uPwbBZFjjGgGUA6NLw09EwE0CqkOc4q9oUmW1yo/edit?usp=sharing"",""อุทัยธานี!I491"")"),0)</f>
        <v>0</v>
      </c>
      <c r="J596" s="240">
        <f ca="1">IFERROR(__xludf.DUMMYFUNCTION("IMPORTRANGE(""https://docs.google.com/spreadsheets/d/11923uPwbBZFjjGgGUA6NLw09EwE0CqkOc4q9oUmW1yo/edit?usp=sharing"",""อุทัยธานี!J491"")"),1.26)</f>
        <v>1.26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IFERROR(__xludf.DUMMYFUNCTION("IMPORTRANGE(""https://docs.google.com/spreadsheets/d/11923uPwbBZFjjGgGUA6NLw09EwE0CqkOc4q9oUmW1yo/edit?usp=sharing"",""อุทัยธานี!I492"")"),50)</f>
        <v>50</v>
      </c>
      <c r="J597" s="485">
        <f ca="1">IFERROR(__xludf.DUMMYFUNCTION("IMPORTRANGE(""https://docs.google.com/spreadsheets/d/11923uPwbBZFjjGgGUA6NLw09EwE0CqkOc4q9oUmW1yo/edit?usp=sharing"",""อุทัยธานี!J492"")"),0)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IFERROR(__xludf.DUMMYFUNCTION("IMPORTRANGE(""https://docs.google.com/spreadsheets/d/11923uPwbBZFjjGgGUA6NLw09EwE0CqkOc4q9oUmW1yo/edit?usp=sharing"",""อุทัยธานี!L492"")"),8550)</f>
        <v>8550</v>
      </c>
      <c r="M597" s="410"/>
      <c r="N597" s="410">
        <f ca="1">IFERROR(__xludf.DUMMYFUNCTION("IMPORTRANGE(""https://docs.google.com/spreadsheets/d/11923uPwbBZFjjGgGUA6NLw09EwE0CqkOc4q9oUmW1yo/edit?usp=sharing"",""อุทัยธานี!M492"")"),5800)</f>
        <v>5800</v>
      </c>
      <c r="O597" s="410">
        <f t="shared" ref="O597:O601" ca="1" si="126">+IF(L597&gt;0,N597*100/L597,0)</f>
        <v>67.836257309941516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IFERROR(__xludf.DUMMYFUNCTION("IMPORTRANGE(""https://docs.google.com/spreadsheets/d/11923uPwbBZFjjGgGUA6NLw09EwE0CqkOc4q9oUmW1yo/edit?usp=sharing"",""อุทัยธานี!L493"")"),0)</f>
        <v>0</v>
      </c>
      <c r="M598" s="164"/>
      <c r="N598" s="168">
        <f ca="1">IFERROR(__xludf.DUMMYFUNCTION("IMPORTRANGE(""https://docs.google.com/spreadsheets/d/11923uPwbBZFjjGgGUA6NLw09EwE0CqkOc4q9oUmW1yo/edit?usp=sharing"",""อุทัยธานี!M493"")"),0)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IFERROR(__xludf.DUMMYFUNCTION("IMPORTRANGE(""https://docs.google.com/spreadsheets/d/11923uPwbBZFjjGgGUA6NLw09EwE0CqkOc4q9oUmW1yo/edit?usp=sharing"",""อุทัยธานี!L494"")"),8550)</f>
        <v>8550</v>
      </c>
      <c r="M599" s="165"/>
      <c r="N599" s="168">
        <f ca="1">IFERROR(__xludf.DUMMYFUNCTION("IMPORTRANGE(""https://docs.google.com/spreadsheets/d/11923uPwbBZFjjGgGUA6NLw09EwE0CqkOc4q9oUmW1yo/edit?usp=sharing"",""อุทัยธานี!M494"")"),5800)</f>
        <v>5800</v>
      </c>
      <c r="O599" s="168">
        <f t="shared" ca="1" si="126"/>
        <v>67.836257309941516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IFERROR(__xludf.DUMMYFUNCTION("IMPORTRANGE(""https://docs.google.com/spreadsheets/d/11923uPwbBZFjjGgGUA6NLw09EwE0CqkOc4q9oUmW1yo/edit?usp=sharing"",""อุทัยธานี!L495"")"),0)</f>
        <v>0</v>
      </c>
      <c r="M600" s="168"/>
      <c r="N600" s="168">
        <f ca="1">IFERROR(__xludf.DUMMYFUNCTION("IMPORTRANGE(""https://docs.google.com/spreadsheets/d/11923uPwbBZFjjGgGUA6NLw09EwE0CqkOc4q9oUmW1yo/edit?usp=sharing"",""อุทัยธานี!M495"")"),0)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IFERROR(__xludf.DUMMYFUNCTION("IMPORTRANGE(""https://docs.google.com/spreadsheets/d/11923uPwbBZFjjGgGUA6NLw09EwE0CqkOc4q9oUmW1yo/edit?usp=sharing"",""อุทัยธานี!L496"")"),8550)</f>
        <v>8550</v>
      </c>
      <c r="M601" s="168"/>
      <c r="N601" s="168">
        <f ca="1">IFERROR(__xludf.DUMMYFUNCTION("IMPORTRANGE(""https://docs.google.com/spreadsheets/d/11923uPwbBZFjjGgGUA6NLw09EwE0CqkOc4q9oUmW1yo/edit?usp=sharing"",""อุทัยธานี!M496"")"),5800)</f>
        <v>5800</v>
      </c>
      <c r="O601" s="168">
        <f t="shared" ca="1" si="126"/>
        <v>67.836257309941516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IFERROR(__xludf.DUMMYFUNCTION("IMPORTRANGE(""https://docs.google.com/spreadsheets/d/11923uPwbBZFjjGgGUA6NLw09EwE0CqkOc4q9oUmW1yo/edit?usp=sharing"",""อุทัยธานี!M497"")"),0)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IFERROR(__xludf.DUMMYFUNCTION("IMPORTRANGE(""https://docs.google.com/spreadsheets/d/11923uPwbBZFjjGgGUA6NLw09EwE0CqkOc4q9oUmW1yo/edit?usp=sharing"",""อุทัยธานี!M498"")"),0)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IFERROR(__xludf.DUMMYFUNCTION("IMPORTRANGE(""https://docs.google.com/spreadsheets/d/11923uPwbBZFjjGgGUA6NLw09EwE0CqkOc4q9oUmW1yo/edit?usp=sharing"",""อุทัยธานี!M499"")"),0)</f>
        <v>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IFERROR(__xludf.DUMMYFUNCTION("IMPORTRANGE(""https://docs.google.com/spreadsheets/d/11923uPwbBZFjjGgGUA6NLw09EwE0CqkOc4q9oUmW1yo/edit?usp=sharing"",""อุทัยธานี!M500"")"),5800)</f>
        <v>5800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IFERROR(__xludf.DUMMYFUNCTION("IMPORTRANGE(""https://docs.google.com/spreadsheets/d/11923uPwbBZFjjGgGUA6NLw09EwE0CqkOc4q9oUmW1yo/edit?usp=sharing"",""อุทัยธานี!J502"")"),0)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IFERROR(__xludf.DUMMYFUNCTION("IMPORTRANGE(""https://docs.google.com/spreadsheets/d/11923uPwbBZFjjGgGUA6NLw09EwE0CqkOc4q9oUmW1yo/edit?usp=sharing"",""อุทัยธานี!J503"")"),1)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IFERROR(__xludf.DUMMYFUNCTION("IMPORTRANGE(""https://docs.google.com/spreadsheets/d/11923uPwbBZFjjGgGUA6NLw09EwE0CqkOc4q9oUmW1yo/edit?usp=sharing"",""อุทัยธานี!J166"")"),0)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IFERROR(__xludf.DUMMYFUNCTION("IMPORTRANGE(""https://docs.google.com/spreadsheets/d/11923uPwbBZFjjGgGUA6NLw09EwE0CqkOc4q9oUmW1yo/edit?usp=sharing"",""อุทัยธานี!J166"")"),0)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IFERROR(__xludf.DUMMYFUNCTION("IMPORTRANGE(""https://docs.google.com/spreadsheets/d/11923uPwbBZFjjGgGUA6NLw09EwE0CqkOc4q9oUmW1yo/edit?usp=sharing"",""อุทัยธานี!I506"")"),50)</f>
        <v>50</v>
      </c>
      <c r="J611" s="162">
        <f ca="1">IFERROR(__xludf.DUMMYFUNCTION("IMPORTRANGE(""https://docs.google.com/spreadsheets/d/11923uPwbBZFjjGgGUA6NLw09EwE0CqkOc4q9oUmW1yo/edit?usp=sharing"",""อุทัยธานี!J506"")"),0)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IFERROR(__xludf.DUMMYFUNCTION("IMPORTRANGE(""https://docs.google.com/spreadsheets/d/11923uPwbBZFjjGgGUA6NLw09EwE0CqkOc4q9oUmW1yo/edit?usp=sharing"",""อุทัยธานี!I507"")"),0)</f>
        <v>0</v>
      </c>
      <c r="J612" s="197">
        <f ca="1">IFERROR(__xludf.DUMMYFUNCTION("IMPORTRANGE(""https://docs.google.com/spreadsheets/d/11923uPwbBZFjjGgGUA6NLw09EwE0CqkOc4q9oUmW1yo/edit?usp=sharing"",""อุทัยธานี!J507"")"),0)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IFERROR(__xludf.DUMMYFUNCTION("IMPORTRANGE(""https://docs.google.com/spreadsheets/d/11923uPwbBZFjjGgGUA6NLw09EwE0CqkOc4q9oUmW1yo/edit?usp=sharing"",""อุทัยธานี!I508"")"),0)</f>
        <v>0</v>
      </c>
      <c r="J613" s="197">
        <f ca="1">IFERROR(__xludf.DUMMYFUNCTION("IMPORTRANGE(""https://docs.google.com/spreadsheets/d/11923uPwbBZFjjGgGUA6NLw09EwE0CqkOc4q9oUmW1yo/edit?usp=sharing"",""อุทัยธานี!J508"")"),0)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IFERROR(__xludf.DUMMYFUNCTION("IMPORTRANGE(""https://docs.google.com/spreadsheets/d/11923uPwbBZFjjGgGUA6NLw09EwE0CqkOc4q9oUmW1yo/edit?usp=sharing"",""อุทัยธานี!I509"")"),0)</f>
        <v>0</v>
      </c>
      <c r="J614" s="197">
        <f ca="1">IFERROR(__xludf.DUMMYFUNCTION("IMPORTRANGE(""https://docs.google.com/spreadsheets/d/11923uPwbBZFjjGgGUA6NLw09EwE0CqkOc4q9oUmW1yo/edit?usp=sharing"",""อุทัยธานี!J509"")"),0)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IFERROR(__xludf.DUMMYFUNCTION("IMPORTRANGE(""https://docs.google.com/spreadsheets/d/11923uPwbBZFjjGgGUA6NLw09EwE0CqkOc4q9oUmW1yo/edit?usp=sharing"",""อุทัยธานี!I510"")"),0)</f>
        <v>0</v>
      </c>
      <c r="J615" s="197">
        <f ca="1">IFERROR(__xludf.DUMMYFUNCTION("IMPORTRANGE(""https://docs.google.com/spreadsheets/d/11923uPwbBZFjjGgGUA6NLw09EwE0CqkOc4q9oUmW1yo/edit?usp=sharing"",""อุทัยธานี!J510"")"),0)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IFERROR(__xludf.DUMMYFUNCTION("IMPORTRANGE(""https://docs.google.com/spreadsheets/d/11923uPwbBZFjjGgGUA6NLw09EwE0CqkOc4q9oUmW1yo/edit?usp=sharing"",""อุทัยธานี!I511"")"),0)</f>
        <v>0</v>
      </c>
      <c r="J616" s="197">
        <f ca="1">IFERROR(__xludf.DUMMYFUNCTION("IMPORTRANGE(""https://docs.google.com/spreadsheets/d/11923uPwbBZFjjGgGUA6NLw09EwE0CqkOc4q9oUmW1yo/edit?usp=sharing"",""อุทัยธานี!J511"")"),0)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IFERROR(__xludf.DUMMYFUNCTION("IMPORTRANGE(""https://docs.google.com/spreadsheets/d/11923uPwbBZFjjGgGUA6NLw09EwE0CqkOc4q9oUmW1yo/edit?usp=sharing"",""อุทัยธานี!I512"")"),0)</f>
        <v>0</v>
      </c>
      <c r="J617" s="187">
        <f ca="1">IFERROR(__xludf.DUMMYFUNCTION("IMPORTRANGE(""https://docs.google.com/spreadsheets/d/11923uPwbBZFjjGgGUA6NLw09EwE0CqkOc4q9oUmW1yo/edit?usp=sharing"",""อุทัยธานี!J512"")"),0)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IFERROR(__xludf.DUMMYFUNCTION("IMPORTRANGE(""https://docs.google.com/spreadsheets/d/11923uPwbBZFjjGgGUA6NLw09EwE0CqkOc4q9oUmW1yo/edit?usp=sharing"",""อุทัยธานี!I513"")"),0)</f>
        <v>0</v>
      </c>
      <c r="J618" s="188">
        <f ca="1">IFERROR(__xludf.DUMMYFUNCTION("IMPORTRANGE(""https://docs.google.com/spreadsheets/d/11923uPwbBZFjjGgGUA6NLw09EwE0CqkOc4q9oUmW1yo/edit?usp=sharing"",""อุทัยธานี!J513"")"),0)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IFERROR(__xludf.DUMMYFUNCTION("IMPORTRANGE(""https://docs.google.com/spreadsheets/d/11923uPwbBZFjjGgGUA6NLw09EwE0CqkOc4q9oUmW1yo/edit?usp=sharing"",""อุทัยธานี!I514"")"),0)</f>
        <v>0</v>
      </c>
      <c r="J619" s="188">
        <f ca="1">IFERROR(__xludf.DUMMYFUNCTION("IMPORTRANGE(""https://docs.google.com/spreadsheets/d/11923uPwbBZFjjGgGUA6NLw09EwE0CqkOc4q9oUmW1yo/edit?usp=sharing"",""อุทัยธานี!J514"")"),0)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IFERROR(__xludf.DUMMYFUNCTION("IMPORTRANGE(""https://docs.google.com/spreadsheets/d/11923uPwbBZFjjGgGUA6NLw09EwE0CqkOc4q9oUmW1yo/edit?usp=sharing"",""อุทัยธานี!I515"")"),0)</f>
        <v>0</v>
      </c>
      <c r="J620" s="202">
        <f ca="1">IFERROR(__xludf.DUMMYFUNCTION("IMPORTRANGE(""https://docs.google.com/spreadsheets/d/11923uPwbBZFjjGgGUA6NLw09EwE0CqkOc4q9oUmW1yo/edit?usp=sharing"",""อุทัยธานี!J515"")"),0)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IFERROR(__xludf.DUMMYFUNCTION("IMPORTRANGE(""https://docs.google.com/spreadsheets/d/11923uPwbBZFjjGgGUA6NLw09EwE0CqkOc4q9oUmW1yo/edit?usp=sharing"",""อุทัยธานี!I516"")"),0)</f>
        <v>0</v>
      </c>
      <c r="J621" s="202">
        <f ca="1">IFERROR(__xludf.DUMMYFUNCTION("IMPORTRANGE(""https://docs.google.com/spreadsheets/d/11923uPwbBZFjjGgGUA6NLw09EwE0CqkOc4q9oUmW1yo/edit?usp=sharing"",""อุทัยธานี!J516"")"),0)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IFERROR(__xludf.DUMMYFUNCTION("IMPORTRANGE(""https://docs.google.com/spreadsheets/d/11923uPwbBZFjjGgGUA6NLw09EwE0CqkOc4q9oUmW1yo/edit?usp=sharing"",""อุทัยธานี!I517"")"),0)</f>
        <v>0</v>
      </c>
      <c r="J622" s="188">
        <f ca="1">IFERROR(__xludf.DUMMYFUNCTION("IMPORTRANGE(""https://docs.google.com/spreadsheets/d/11923uPwbBZFjjGgGUA6NLw09EwE0CqkOc4q9oUmW1yo/edit?usp=sharing"",""อุทัยธานี!J517"")"),0)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IFERROR(__xludf.DUMMYFUNCTION("IMPORTRANGE(""https://docs.google.com/spreadsheets/d/11923uPwbBZFjjGgGUA6NLw09EwE0CqkOc4q9oUmW1yo/edit?usp=sharing"",""อุทัยธานี!I518"")"),0)</f>
        <v>0</v>
      </c>
      <c r="J623" s="188">
        <f ca="1">IFERROR(__xludf.DUMMYFUNCTION("IMPORTRANGE(""https://docs.google.com/spreadsheets/d/11923uPwbBZFjjGgGUA6NLw09EwE0CqkOc4q9oUmW1yo/edit?usp=sharing"",""อุทัยธานี!J518"")"),0)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IFERROR(__xludf.DUMMYFUNCTION("IMPORTRANGE(""https://docs.google.com/spreadsheets/d/11923uPwbBZFjjGgGUA6NLw09EwE0CqkOc4q9oUmW1yo/edit?usp=sharing"",""อุทัยธานี!I519"")"),0)</f>
        <v>0</v>
      </c>
      <c r="J624" s="187">
        <f ca="1">IFERROR(__xludf.DUMMYFUNCTION("IMPORTRANGE(""https://docs.google.com/spreadsheets/d/11923uPwbBZFjjGgGUA6NLw09EwE0CqkOc4q9oUmW1yo/edit?usp=sharing"",""อุทัยธานี!J519"")"),0)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IFERROR(__xludf.DUMMYFUNCTION("IMPORTRANGE(""https://docs.google.com/spreadsheets/d/11923uPwbBZFjjGgGUA6NLw09EwE0CqkOc4q9oUmW1yo/edit?usp=sharing"",""อุทัยธานี!I520"")"),0)</f>
        <v>0</v>
      </c>
      <c r="J625" s="188">
        <f ca="1">IFERROR(__xludf.DUMMYFUNCTION("IMPORTRANGE(""https://docs.google.com/spreadsheets/d/11923uPwbBZFjjGgGUA6NLw09EwE0CqkOc4q9oUmW1yo/edit?usp=sharing"",""อุทัยธานี!J520"")"),0)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IFERROR(__xludf.DUMMYFUNCTION("IMPORTRANGE(""https://docs.google.com/spreadsheets/d/11923uPwbBZFjjGgGUA6NLw09EwE0CqkOc4q9oUmW1yo/edit?usp=sharing"",""อุทัยธานี!I521"")"),0)</f>
        <v>0</v>
      </c>
      <c r="J626" s="188">
        <f ca="1">IFERROR(__xludf.DUMMYFUNCTION("IMPORTRANGE(""https://docs.google.com/spreadsheets/d/11923uPwbBZFjjGgGUA6NLw09EwE0CqkOc4q9oUmW1yo/edit?usp=sharing"",""อุทัยธานี!J521"")"),0)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IFERROR(__xludf.DUMMYFUNCTION("IMPORTRANGE(""https://docs.google.com/spreadsheets/d/11923uPwbBZFjjGgGUA6NLw09EwE0CqkOc4q9oUmW1yo/edit?usp=sharing"",""อุทัยธานี!I523"")"),1955020.27)</f>
        <v>1955020.27</v>
      </c>
      <c r="J628" s="339">
        <f ca="1">IFERROR(__xludf.DUMMYFUNCTION("IMPORTRANGE(""https://docs.google.com/spreadsheets/d/11923uPwbBZFjjGgGUA6NLw09EwE0CqkOc4q9oUmW1yo/edit?usp=sharing"",""อุทัยธานี!J523"")"),100500)</f>
        <v>100500</v>
      </c>
      <c r="K628" s="340">
        <f t="shared" ref="K628:K635" ca="1" si="129">IF(I628&gt;0,J628*100/I628,0)</f>
        <v>5.1406116623026117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IFERROR(__xludf.DUMMYFUNCTION("IMPORTRANGE(""https://docs.google.com/spreadsheets/d/11923uPwbBZFjjGgGUA6NLw09EwE0CqkOc4q9oUmW1yo/edit?usp=sharing"",""อุทัยธานี!I524"")"),111)</f>
        <v>111</v>
      </c>
      <c r="J629" s="339">
        <f ca="1">IFERROR(__xludf.DUMMYFUNCTION("IMPORTRANGE(""https://docs.google.com/spreadsheets/d/11923uPwbBZFjjGgGUA6NLw09EwE0CqkOc4q9oUmW1yo/edit?usp=sharing"",""อุทัยธานี!J524"")"),12)</f>
        <v>12</v>
      </c>
      <c r="K629" s="340">
        <f t="shared" ca="1" si="129"/>
        <v>10.810810810810811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39">
        <f ca="1">IFERROR(__xludf.DUMMYFUNCTION("IMPORTRANGE(""https://docs.google.com/spreadsheets/d/11923uPwbBZFjjGgGUA6NLw09EwE0CqkOc4q9oUmW1yo/edit?usp=sharing"",""อุทัยธานี!J525"")"),929964.17)</f>
        <v>929964.17</v>
      </c>
      <c r="K630" s="340">
        <f t="shared" ca="1" si="129"/>
        <v>7.5634834250260479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IFERROR(__xludf.DUMMYFUNCTION("IMPORTRANGE(""https://docs.google.com/spreadsheets/d/11923uPwbBZFjjGgGUA6NLw09EwE0CqkOc4q9oUmW1yo/edit?usp=sharing"",""อุทัยธานี!I526"")"),678)</f>
        <v>678</v>
      </c>
      <c r="J631" s="339">
        <f ca="1">IFERROR(__xludf.DUMMYFUNCTION("IMPORTRANGE(""https://docs.google.com/spreadsheets/d/11923uPwbBZFjjGgGUA6NLw09EwE0CqkOc4q9oUmW1yo/edit?usp=sharing"",""อุทัยธานี!J526"")"),156)</f>
        <v>156</v>
      </c>
      <c r="K631" s="340">
        <f t="shared" ca="1" si="129"/>
        <v>23.008849557522122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39">
        <f ca="1">IFERROR(__xludf.DUMMYFUNCTION("IMPORTRANGE(""https://docs.google.com/spreadsheets/d/11923uPwbBZFjjGgGUA6NLw09EwE0CqkOc4q9oUmW1yo/edit?usp=sharing"",""อุทัยธานี!J527"")"),856393.98)</f>
        <v>856393.98</v>
      </c>
      <c r="K632" s="340">
        <f t="shared" ca="1" si="129"/>
        <v>21.511102744618732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IFERROR(__xludf.DUMMYFUNCTION("IMPORTRANGE(""https://docs.google.com/spreadsheets/d/11923uPwbBZFjjGgGUA6NLw09EwE0CqkOc4q9oUmW1yo/edit?usp=sharing"",""อุทัยธานี!I528"")"),248)</f>
        <v>248</v>
      </c>
      <c r="J633" s="339">
        <f ca="1">IFERROR(__xludf.DUMMYFUNCTION("IMPORTRANGE(""https://docs.google.com/spreadsheets/d/11923uPwbBZFjjGgGUA6NLw09EwE0CqkOc4q9oUmW1yo/edit?usp=sharing"",""อุทัยธานี!J528"")"),77)</f>
        <v>77</v>
      </c>
      <c r="K633" s="340">
        <f t="shared" ca="1" si="129"/>
        <v>31.048387096774192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IFERROR(__xludf.DUMMYFUNCTION("IMPORTRANGE(""https://docs.google.com/spreadsheets/d/11923uPwbBZFjjGgGUA6NLw09EwE0CqkOc4q9oUmW1yo/edit?usp=sharing"",""อุทัยธานี!I529"")"),1000000)</f>
        <v>1000000</v>
      </c>
      <c r="J634" s="339">
        <f ca="1">IFERROR(__xludf.DUMMYFUNCTION("IMPORTRANGE(""https://docs.google.com/spreadsheets/d/11923uPwbBZFjjGgGUA6NLw09EwE0CqkOc4q9oUmW1yo/edit?usp=sharing"",""อุทัยธานี!J529"")"),0)</f>
        <v>0</v>
      </c>
      <c r="K634" s="340">
        <f t="shared" ca="1" si="129"/>
        <v>0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IFERROR(__xludf.DUMMYFUNCTION("IMPORTRANGE(""https://docs.google.com/spreadsheets/d/11923uPwbBZFjjGgGUA6NLw09EwE0CqkOc4q9oUmW1yo/edit?usp=sharing"",""อุทัยธานี!I530"")"),50)</f>
        <v>50</v>
      </c>
      <c r="J635" s="502">
        <f ca="1">IFERROR(__xludf.DUMMYFUNCTION("IMPORTRANGE(""https://docs.google.com/spreadsheets/d/11923uPwbBZFjjGgGUA6NLw09EwE0CqkOc4q9oUmW1yo/edit?usp=sharing"",""อุทัยธานี!J530"")"),0)</f>
        <v>0</v>
      </c>
      <c r="K635" s="484">
        <f t="shared" ca="1" si="129"/>
        <v>0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9" width="13.90625" bestFit="1" customWidth="1"/>
    <col min="10" max="10" width="11.90625" bestFit="1" customWidth="1"/>
    <col min="11" max="11" width="11" bestFit="1" customWidth="1"/>
    <col min="12" max="13" width="20.08984375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238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7294031</v>
      </c>
      <c r="M8" s="23">
        <f t="shared" ca="1" si="0"/>
        <v>2278662</v>
      </c>
      <c r="N8" s="23">
        <f t="shared" ca="1" si="0"/>
        <v>2078789.67</v>
      </c>
      <c r="O8" s="22">
        <f t="shared" ref="O8:O16" ca="1" si="1">IF(L8&gt;0,N8*100/L8,0)</f>
        <v>28.499874349313842</v>
      </c>
      <c r="P8" s="22">
        <f t="shared" ref="P8:P16" ca="1" si="2">IF(M8&gt;0,N8*100/M8,0)</f>
        <v>91.228522264381468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7294031</v>
      </c>
      <c r="M10" s="30">
        <f t="shared" ca="1" si="4"/>
        <v>2278662</v>
      </c>
      <c r="N10" s="30">
        <f t="shared" ca="1" si="4"/>
        <v>2078789.67</v>
      </c>
      <c r="O10" s="29">
        <f t="shared" ca="1" si="1"/>
        <v>28.499874349313842</v>
      </c>
      <c r="P10" s="29">
        <f t="shared" ca="1" si="2"/>
        <v>91.228522264381468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7294031</v>
      </c>
      <c r="M12" s="38">
        <f t="shared" ca="1" si="6"/>
        <v>2278662</v>
      </c>
      <c r="N12" s="38">
        <f t="shared" ca="1" si="6"/>
        <v>2078789.67</v>
      </c>
      <c r="O12" s="38">
        <f t="shared" ca="1" si="1"/>
        <v>28.499874349313842</v>
      </c>
      <c r="P12" s="38">
        <f t="shared" ca="1" si="2"/>
        <v>91.228522264381468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2181000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5113031</v>
      </c>
      <c r="M14" s="38">
        <f t="shared" si="8"/>
        <v>0</v>
      </c>
      <c r="N14" s="38">
        <f t="shared" ca="1" si="8"/>
        <v>407655.67</v>
      </c>
      <c r="O14" s="38">
        <f t="shared" ca="1" si="1"/>
        <v>7.9728769491129627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0</v>
      </c>
      <c r="M16" s="38">
        <f t="shared" si="10"/>
        <v>0</v>
      </c>
      <c r="N16" s="38">
        <f t="shared" ca="1" si="10"/>
        <v>0</v>
      </c>
      <c r="O16" s="49">
        <f t="shared" ca="1" si="1"/>
        <v>0</v>
      </c>
      <c r="P16" s="49">
        <f t="shared" si="2"/>
        <v>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3957295</v>
      </c>
      <c r="M18" s="23">
        <f t="shared" ca="1" si="11"/>
        <v>2278662</v>
      </c>
      <c r="N18" s="23">
        <f t="shared" ca="1" si="11"/>
        <v>1671134</v>
      </c>
      <c r="O18" s="22">
        <f t="shared" ref="O18:O20" ca="1" si="12">IF(L18&gt;0,N18*100/L18,0)</f>
        <v>42.229199491066495</v>
      </c>
      <c r="P18" s="22">
        <f t="shared" ref="P18:P26" ca="1" si="13">IF(M18&gt;0,N18*100/M18,0)</f>
        <v>73.338388931750302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3957295</v>
      </c>
      <c r="M20" s="30">
        <f t="shared" ca="1" si="15"/>
        <v>2278662</v>
      </c>
      <c r="N20" s="30">
        <f t="shared" ca="1" si="15"/>
        <v>1671134</v>
      </c>
      <c r="O20" s="29">
        <f t="shared" ca="1" si="12"/>
        <v>42.229199491066495</v>
      </c>
      <c r="P20" s="29">
        <f t="shared" ca="1" si="13"/>
        <v>73.338388931750302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3957295</v>
      </c>
      <c r="M22" s="41">
        <f t="shared" ca="1" si="18"/>
        <v>2278662</v>
      </c>
      <c r="N22" s="38">
        <f t="shared" ca="1" si="18"/>
        <v>1671134</v>
      </c>
      <c r="O22" s="38">
        <f t="shared" ca="1" si="17"/>
        <v>42.229199491066495</v>
      </c>
      <c r="P22" s="38">
        <f t="shared" ca="1" si="13"/>
        <v>73.338388931750302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2181000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1776295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0</v>
      </c>
      <c r="M26" s="49">
        <f t="shared" si="22"/>
        <v>0</v>
      </c>
      <c r="N26" s="49">
        <f t="shared" ca="1" si="22"/>
        <v>0</v>
      </c>
      <c r="O26" s="49">
        <f t="shared" ca="1" si="17"/>
        <v>0</v>
      </c>
      <c r="P26" s="49">
        <f t="shared" si="13"/>
        <v>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3336736</v>
      </c>
      <c r="M28" s="23">
        <f t="shared" si="23"/>
        <v>0</v>
      </c>
      <c r="N28" s="23">
        <f t="shared" ca="1" si="23"/>
        <v>407655.67</v>
      </c>
      <c r="O28" s="22">
        <f t="shared" ref="O28:O30" ca="1" si="24">IF(L28&gt;0,N28*100/L28,0)</f>
        <v>12.217198783481821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3336736</v>
      </c>
      <c r="M30" s="30">
        <f t="shared" si="27"/>
        <v>0</v>
      </c>
      <c r="N30" s="30">
        <f t="shared" ca="1" si="27"/>
        <v>407655.67</v>
      </c>
      <c r="O30" s="29">
        <f t="shared" ca="1" si="24"/>
        <v>12.217198783481821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3336736</v>
      </c>
      <c r="M32" s="38">
        <f t="shared" si="30"/>
        <v>0</v>
      </c>
      <c r="N32" s="38">
        <f t="shared" ca="1" si="30"/>
        <v>407655.67</v>
      </c>
      <c r="O32" s="38">
        <f t="shared" ca="1" si="29"/>
        <v>12.217198783481821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3336736</v>
      </c>
      <c r="M34" s="38">
        <f t="shared" si="32"/>
        <v>0</v>
      </c>
      <c r="N34" s="38">
        <f t="shared" ca="1" si="32"/>
        <v>407655.67</v>
      </c>
      <c r="O34" s="38">
        <f t="shared" ca="1" si="29"/>
        <v>12.217198783481821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3957295</v>
      </c>
      <c r="M37" s="54">
        <f t="shared" ca="1" si="33"/>
        <v>2278662</v>
      </c>
      <c r="N37" s="54">
        <f t="shared" ca="1" si="33"/>
        <v>1671134</v>
      </c>
      <c r="O37" s="55">
        <f t="shared" ca="1" si="29"/>
        <v>42.229199491066495</v>
      </c>
      <c r="P37" s="55">
        <f t="shared" ca="1" si="25"/>
        <v>73.338388931750302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840900</v>
      </c>
      <c r="M41" s="78">
        <f t="shared" ca="1" si="34"/>
        <v>420500</v>
      </c>
      <c r="N41" s="78">
        <f t="shared" ca="1" si="34"/>
        <v>358181</v>
      </c>
      <c r="O41" s="77">
        <f t="shared" ref="O41:O43" ca="1" si="35">IF(L41&gt;0,N41*100/L41,0)</f>
        <v>42.594957783327388</v>
      </c>
      <c r="P41" s="77">
        <f t="shared" ref="P41:P43" ca="1" si="36">IF(M41&gt;0,N41*100/M41,0)</f>
        <v>85.179785969084421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840900</v>
      </c>
      <c r="M43" s="78">
        <f t="shared" ca="1" si="38"/>
        <v>420500</v>
      </c>
      <c r="N43" s="78">
        <f t="shared" ca="1" si="38"/>
        <v>358181</v>
      </c>
      <c r="O43" s="77">
        <f t="shared" ca="1" si="35"/>
        <v>42.594957783327388</v>
      </c>
      <c r="P43" s="77">
        <f t="shared" ca="1" si="36"/>
        <v>85.179785969084421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840900</v>
      </c>
      <c r="M45" s="49">
        <f ca="1">IFERROR(__xludf.DUMMYFUNCTION("IMPORTRANGE(""https://docs.google.com/spreadsheets/d/1Yj_ptqi66GCucihVvJfMjLAmec39IyEx_6qawtMGysU/edit?usp=sharing"",""สบก!Q20"")"),420500)</f>
        <v>420500</v>
      </c>
      <c r="N45" s="49">
        <f ca="1">IFERROR(__xludf.DUMMYFUNCTION("IMPORTRANGE(""https://docs.google.com/spreadsheets/d/1Yj_ptqi66GCucihVvJfMjLAmec39IyEx_6qawtMGysU/edit?usp=sharing"",""สบก!R20"")"),358181)</f>
        <v>358181</v>
      </c>
      <c r="O45" s="38">
        <f ca="1">IF(L45&gt;0,N45*100/L45,0)</f>
        <v>42.594957783327388</v>
      </c>
      <c r="P45" s="38">
        <f ca="1">IF(M45&gt;0,N45*100/M45,0)</f>
        <v>85.179785969084421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IFERROR(__xludf.DUMMYFUNCTION("IMPORTRANGE(""https://docs.google.com/spreadsheets/d/1Yj_ptqi66GCucihVvJfMjLAmec39IyEx_6qawtMGysU/edit?usp=sharing"",""สบก!M20"")"),840900)</f>
        <v>840900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IFERROR(__xludf.DUMMYFUNCTION("IMPORTRANGE(""https://docs.google.com/spreadsheets/d/1Yj_ptqi66GCucihVvJfMjLAmec39IyEx_6qawtMGysU/edit?usp=sharing"",""สบก!N20"")"),0)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IFERROR(__xludf.DUMMYFUNCTION("IMPORTRANGE(""https://docs.google.com/spreadsheets/d/1Yj_ptqi66GCucihVvJfMjLAmec39IyEx_6qawtMGysU/edit?usp=sharing"",""สบก!O20"")"),0)</f>
        <v>0</v>
      </c>
      <c r="M49" s="49"/>
      <c r="N49" s="49">
        <f ca="1">IFERROR(__xludf.DUMMYFUNCTION("IMPORTRANGE(""https://docs.google.com/spreadsheets/d/1Yj_ptqi66GCucihVvJfMjLAmec39IyEx_6qawtMGysU/edit?usp=sharing"",""สบก!S20"")"),0)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469000</v>
      </c>
      <c r="M53" s="120">
        <f t="shared" ca="1" si="39"/>
        <v>248467</v>
      </c>
      <c r="N53" s="120">
        <f t="shared" ca="1" si="39"/>
        <v>207625</v>
      </c>
      <c r="O53" s="119">
        <f t="shared" ref="O53:O55" ca="1" si="40">IF(L53&gt;0,N53*100/L53,0)</f>
        <v>44.269722814498934</v>
      </c>
      <c r="P53" s="119">
        <f t="shared" ref="P53:P55" ca="1" si="41">IF(M53&gt;0,N53*100/M53,0)</f>
        <v>83.56240466540828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469000</v>
      </c>
      <c r="M55" s="120">
        <f t="shared" ca="1" si="43"/>
        <v>248467</v>
      </c>
      <c r="N55" s="120">
        <f t="shared" ca="1" si="43"/>
        <v>207625</v>
      </c>
      <c r="O55" s="119">
        <f t="shared" ca="1" si="40"/>
        <v>44.269722814498934</v>
      </c>
      <c r="P55" s="119">
        <f t="shared" ca="1" si="41"/>
        <v>83.56240466540828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469000</v>
      </c>
      <c r="M57" s="49">
        <f ca="1">IFERROR(__xludf.DUMMYFUNCTION("IMPORTRANGE(""https://docs.google.com/spreadsheets/d/1Yj_ptqi66GCucihVvJfMjLAmec39IyEx_6qawtMGysU/edit?usp=sharing"",""สบก!Z20"")"),248467)</f>
        <v>248467</v>
      </c>
      <c r="N57" s="49">
        <f ca="1">IFERROR(__xludf.DUMMYFUNCTION("IMPORTRANGE(""https://docs.google.com/spreadsheets/d/1Yj_ptqi66GCucihVvJfMjLAmec39IyEx_6qawtMGysU/edit?usp=sharing"",""สบก!AA20"")"),207625)</f>
        <v>207625</v>
      </c>
      <c r="O57" s="38">
        <f ca="1">IF(L57&gt;0,N57*100/L57,0)</f>
        <v>44.269722814498934</v>
      </c>
      <c r="P57" s="38">
        <f ca="1">IF(M57&gt;0,N57*100/M57,0)</f>
        <v>83.56240466540828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IFERROR(__xludf.DUMMYFUNCTION("IMPORTRANGE(""https://docs.google.com/spreadsheets/d/1Yj_ptqi66GCucihVvJfMjLAmec39IyEx_6qawtMGysU/edit?usp=sharing"",""สบก!V20"")"),469000)</f>
        <v>469000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IFERROR(__xludf.DUMMYFUNCTION("IMPORTRANGE(""https://docs.google.com/spreadsheets/d/1Yj_ptqi66GCucihVvJfMjLAmec39IyEx_6qawtMGysU/edit?usp=sharing"",""สบก!W20"")"),0)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IFERROR(__xludf.DUMMYFUNCTION("IMPORTRANGE(""https://docs.google.com/spreadsheets/d/1Yj_ptqi66GCucihVvJfMjLAmec39IyEx_6qawtMGysU/edit?usp=sharing"",""สบก!X20"")"),0)</f>
        <v>0</v>
      </c>
      <c r="M61" s="49"/>
      <c r="N61" s="49">
        <f ca="1">IFERROR(__xludf.DUMMYFUNCTION("IMPORTRANGE(""https://docs.google.com/spreadsheets/d/1Yj_ptqi66GCucihVvJfMjLAmec39IyEx_6qawtMGysU/edit?usp=sharing"",""สบก!AB20"")"),0)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IFERROR(__xludf.DUMMYFUNCTION("IMPORTRANGE(""https://docs.google.com/spreadsheets/d/11923uPwbBZFjjGgGUA6NLw09EwE0CqkOc4q9oUmW1yo/edit?usp=sharing"",""กำแพงเพชร!I9"")"),0)</f>
        <v>0</v>
      </c>
      <c r="J64" s="141">
        <f ca="1">IFERROR(__xludf.DUMMYFUNCTION("IMPORTRANGE(""https://docs.google.com/spreadsheets/d/11923uPwbBZFjjGgGUA6NLw09EwE0CqkOc4q9oUmW1yo/edit?usp=sharing"",""กำแพงเพชร!J9"")"),0)</f>
        <v>0</v>
      </c>
      <c r="K64" s="142">
        <f t="shared" ref="K64:K65" ca="1" si="44">IF(I64&gt;0,J64*100/I64,0)</f>
        <v>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IFERROR(__xludf.DUMMYFUNCTION("IMPORTRANGE(""https://docs.google.com/spreadsheets/d/11923uPwbBZFjjGgGUA6NLw09EwE0CqkOc4q9oUmW1yo/edit?usp=sharing"",""กำแพงเพชร!I10"")"),0)</f>
        <v>0</v>
      </c>
      <c r="J65" s="141">
        <f ca="1">IFERROR(__xludf.DUMMYFUNCTION("IMPORTRANGE(""https://docs.google.com/spreadsheets/d/11923uPwbBZFjjGgGUA6NLw09EwE0CqkOc4q9oUmW1yo/edit?usp=sharing"",""กำแพงเพชร!J10"")"),0)</f>
        <v>0</v>
      </c>
      <c r="K65" s="142">
        <f t="shared" ca="1" si="44"/>
        <v>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0</v>
      </c>
      <c r="M66" s="151">
        <f t="shared" ca="1" si="45"/>
        <v>0</v>
      </c>
      <c r="N66" s="151">
        <f t="shared" ca="1" si="45"/>
        <v>0</v>
      </c>
      <c r="O66" s="150">
        <f t="shared" ref="O66:O68" ca="1" si="46">IF(L66&gt;0,N66*100/L66,0)</f>
        <v>0</v>
      </c>
      <c r="P66" s="150">
        <f t="shared" ref="P66:P68" ca="1" si="47">IF(M66&gt;0,N66*100/M66,0)</f>
        <v>0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0</v>
      </c>
      <c r="M68" s="87">
        <f t="shared" ca="1" si="49"/>
        <v>0</v>
      </c>
      <c r="N68" s="87">
        <f t="shared" ca="1" si="49"/>
        <v>0</v>
      </c>
      <c r="O68" s="155">
        <f t="shared" ca="1" si="46"/>
        <v>0</v>
      </c>
      <c r="P68" s="155">
        <f t="shared" ca="1" si="47"/>
        <v>0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IFERROR(__xludf.DUMMYFUNCTION("IMPORTRANGE(""https://docs.google.com/spreadsheets/d/1Yj_ptqi66GCucihVvJfMjLAmec39IyEx_6qawtMGysU/edit?usp=sharing"",""สบก!AI20"")"),0)</f>
        <v>0</v>
      </c>
      <c r="N70" s="168">
        <f ca="1">IFERROR(__xludf.DUMMYFUNCTION("IMPORTRANGE(""https://docs.google.com/spreadsheets/d/1Yj_ptqi66GCucihVvJfMjLAmec39IyEx_6qawtMGysU/edit?usp=sharing"",""สบก!AJ20"")"),0)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IFERROR(__xludf.DUMMYFUNCTION("IMPORTRANGE(""https://docs.google.com/spreadsheets/d/1Yj_ptqi66GCucihVvJfMjLAmec39IyEx_6qawtMGysU/edit?usp=sharing"",""สบก!AE20"")"),0)</f>
        <v>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IFERROR(__xludf.DUMMYFUNCTION("IMPORTRANGE(""https://docs.google.com/spreadsheets/d/1Yj_ptqi66GCucihVvJfMjLAmec39IyEx_6qawtMGysU/edit?usp=sharing"",""สบก!AF20"")"),0)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IFERROR(__xludf.DUMMYFUNCTION("IMPORTRANGE(""https://docs.google.com/spreadsheets/d/1Yj_ptqi66GCucihVvJfMjLAmec39IyEx_6qawtMGysU/edit?usp=sharing"",""สบก!AG20"")"),0)</f>
        <v>0</v>
      </c>
      <c r="M74" s="49"/>
      <c r="N74" s="49">
        <f ca="1">IFERROR(__xludf.DUMMYFUNCTION("IMPORTRANGE(""https://docs.google.com/spreadsheets/d/1Yj_ptqi66GCucihVvJfMjLAmec39IyEx_6qawtMGysU/edit?usp=sharing"",""สบก!AK20"")"),0)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IFERROR(__xludf.DUMMYFUNCTION("IMPORTRANGE(""https://docs.google.com/spreadsheets/d/11923uPwbBZFjjGgGUA6NLw09EwE0CqkOc4q9oUmW1yo/edit?usp=sharing"",""กำแพงเพชร!J16"")"),0)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IFERROR(__xludf.DUMMYFUNCTION("IMPORTRANGE(""https://docs.google.com/spreadsheets/d/11923uPwbBZFjjGgGUA6NLw09EwE0CqkOc4q9oUmW1yo/edit?usp=sharing"",""กำแพงเพชร!J17"")"),0)</f>
        <v>0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IFERROR(__xludf.DUMMYFUNCTION("IMPORTRANGE(""https://docs.google.com/spreadsheets/d/11923uPwbBZFjjGgGUA6NLw09EwE0CqkOc4q9oUmW1yo/edit?usp=sharing"",""กำแพงเพชร!J18"")"),0)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IFERROR(__xludf.DUMMYFUNCTION("IMPORTRANGE(""https://docs.google.com/spreadsheets/d/11923uPwbBZFjjGgGUA6NLw09EwE0CqkOc4q9oUmW1yo/edit?usp=sharing"",""กำแพงเพชร!J19"")"),0)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IFERROR(__xludf.DUMMYFUNCTION("IMPORTRANGE(""https://docs.google.com/spreadsheets/d/11923uPwbBZFjjGgGUA6NLw09EwE0CqkOc4q9oUmW1yo/edit?usp=sharing"",""กำแพงเพชร!I20"")"),0)</f>
        <v>0</v>
      </c>
      <c r="J80" s="200">
        <f ca="1">IFERROR(__xludf.DUMMYFUNCTION("IMPORTRANGE(""https://docs.google.com/spreadsheets/d/11923uPwbBZFjjGgGUA6NLw09EwE0CqkOc4q9oUmW1yo/edit?usp=sharing"",""กำแพงเพชร!J20"")"),0)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IFERROR(__xludf.DUMMYFUNCTION("IMPORTRANGE(""https://docs.google.com/spreadsheets/d/11923uPwbBZFjjGgGUA6NLw09EwE0CqkOc4q9oUmW1yo/edit?usp=sharing"",""กำแพงเพชร!I21"")"),0)</f>
        <v>0</v>
      </c>
      <c r="J81" s="200">
        <f ca="1">IFERROR(__xludf.DUMMYFUNCTION("IMPORTRANGE(""https://docs.google.com/spreadsheets/d/11923uPwbBZFjjGgGUA6NLw09EwE0CqkOc4q9oUmW1yo/edit?usp=sharing"",""กำแพงเพชร!J21"")"),0)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IFERROR(__xludf.DUMMYFUNCTION("IMPORTRANGE(""https://docs.google.com/spreadsheets/d/11923uPwbBZFjjGgGUA6NLw09EwE0CqkOc4q9oUmW1yo/edit?usp=sharing"",""กำแพงเพชร!I22"")"),0)</f>
        <v>0</v>
      </c>
      <c r="J82" s="203">
        <f ca="1">IFERROR(__xludf.DUMMYFUNCTION("IMPORTRANGE(""https://docs.google.com/spreadsheets/d/11923uPwbBZFjjGgGUA6NLw09EwE0CqkOc4q9oUmW1yo/edit?usp=sharing"",""กำแพงเพชร!J22"")"),0)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IFERROR(__xludf.DUMMYFUNCTION("IMPORTRANGE(""https://docs.google.com/spreadsheets/d/11923uPwbBZFjjGgGUA6NLw09EwE0CqkOc4q9oUmW1yo/edit?usp=sharing"",""กำแพงเพชร!I23"")"),0)</f>
        <v>0</v>
      </c>
      <c r="J83" s="203">
        <f ca="1">IFERROR(__xludf.DUMMYFUNCTION("IMPORTRANGE(""https://docs.google.com/spreadsheets/d/11923uPwbBZFjjGgGUA6NLw09EwE0CqkOc4q9oUmW1yo/edit?usp=sharing"",""กำแพงเพชร!J23"")"),0)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IFERROR(__xludf.DUMMYFUNCTION("IMPORTRANGE(""https://docs.google.com/spreadsheets/d/11923uPwbBZFjjGgGUA6NLw09EwE0CqkOc4q9oUmW1yo/edit?usp=sharing"",""กำแพงเพชร!I24"")"),0)</f>
        <v>0</v>
      </c>
      <c r="J84" s="188">
        <f ca="1">IFERROR(__xludf.DUMMYFUNCTION("IMPORTRANGE(""https://docs.google.com/spreadsheets/d/11923uPwbBZFjjGgGUA6NLw09EwE0CqkOc4q9oUmW1yo/edit?usp=sharing"",""กำแพงเพชร!J24"")"),0)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IFERROR(__xludf.DUMMYFUNCTION("IMPORTRANGE(""https://docs.google.com/spreadsheets/d/11923uPwbBZFjjGgGUA6NLw09EwE0CqkOc4q9oUmW1yo/edit?usp=sharing"",""กำแพงเพชร!I25"")"),0)</f>
        <v>0</v>
      </c>
      <c r="J85" s="188">
        <f ca="1">IFERROR(__xludf.DUMMYFUNCTION("IMPORTRANGE(""https://docs.google.com/spreadsheets/d/11923uPwbBZFjjGgGUA6NLw09EwE0CqkOc4q9oUmW1yo/edit?usp=sharing"",""กำแพงเพชร!J25"")"),0)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IFERROR(__xludf.DUMMYFUNCTION("IMPORTRANGE(""https://docs.google.com/spreadsheets/d/11923uPwbBZFjjGgGUA6NLw09EwE0CqkOc4q9oUmW1yo/edit?usp=sharing"",""กำแพงเพชร!I26"")"),0)</f>
        <v>0</v>
      </c>
      <c r="J86" s="203">
        <f ca="1">IFERROR(__xludf.DUMMYFUNCTION("IMPORTRANGE(""https://docs.google.com/spreadsheets/d/11923uPwbBZFjjGgGUA6NLw09EwE0CqkOc4q9oUmW1yo/edit?usp=sharing"",""กำแพงเพชร!J26"")"),0)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IFERROR(__xludf.DUMMYFUNCTION("IMPORTRANGE(""https://docs.google.com/spreadsheets/d/11923uPwbBZFjjGgGUA6NLw09EwE0CqkOc4q9oUmW1yo/edit?usp=sharing"",""กำแพงเพชร!I27"")"),0)</f>
        <v>0</v>
      </c>
      <c r="J87" s="203">
        <f ca="1">IFERROR(__xludf.DUMMYFUNCTION("IMPORTRANGE(""https://docs.google.com/spreadsheets/d/11923uPwbBZFjjGgGUA6NLw09EwE0CqkOc4q9oUmW1yo/edit?usp=sharing"",""กำแพงเพชร!J27"")"),0)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IFERROR(__xludf.DUMMYFUNCTION("IMPORTRANGE(""https://docs.google.com/spreadsheets/d/11923uPwbBZFjjGgGUA6NLw09EwE0CqkOc4q9oUmW1yo/edit?usp=sharing"",""กำแพงเพชร!I28"")"),0)</f>
        <v>0</v>
      </c>
      <c r="J88" s="203">
        <f ca="1">IFERROR(__xludf.DUMMYFUNCTION("IMPORTRANGE(""https://docs.google.com/spreadsheets/d/11923uPwbBZFjjGgGUA6NLw09EwE0CqkOc4q9oUmW1yo/edit?usp=sharing"",""กำแพงเพชร!J28"")"),0)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IFERROR(__xludf.DUMMYFUNCTION("IMPORTRANGE(""https://docs.google.com/spreadsheets/d/11923uPwbBZFjjGgGUA6NLw09EwE0CqkOc4q9oUmW1yo/edit?usp=sharing"",""กำแพงเพชร!J29"")"),0)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IFERROR(__xludf.DUMMYFUNCTION("IMPORTRANGE(""https://docs.google.com/spreadsheets/d/11923uPwbBZFjjGgGUA6NLw09EwE0CqkOc4q9oUmW1yo/edit?usp=sharing"",""กำแพงเพชร!J30"")"),0)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IFERROR(__xludf.DUMMYFUNCTION("IMPORTRANGE(""https://docs.google.com/spreadsheets/d/11923uPwbBZFjjGgGUA6NLw09EwE0CqkOc4q9oUmW1yo/edit?usp=sharing"",""กำแพงเพชร!I32"")"),0)</f>
        <v>0</v>
      </c>
      <c r="J92" s="141">
        <f ca="1">IFERROR(__xludf.DUMMYFUNCTION("IMPORTRANGE(""https://docs.google.com/spreadsheets/d/11923uPwbBZFjjGgGUA6NLw09EwE0CqkOc4q9oUmW1yo/edit?usp=sharing"",""กำแพงเพชร!J32"")"),0)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IFERROR(__xludf.DUMMYFUNCTION("IMPORTRANGE(""https://docs.google.com/spreadsheets/d/11923uPwbBZFjjGgGUA6NLw09EwE0CqkOc4q9oUmW1yo/edit?usp=sharing"",""กำแพงเพชร!I33"")"),0)</f>
        <v>0</v>
      </c>
      <c r="J93" s="141">
        <f ca="1">IFERROR(__xludf.DUMMYFUNCTION("IMPORTRANGE(""https://docs.google.com/spreadsheets/d/11923uPwbBZFjjGgGUA6NLw09EwE0CqkOc4q9oUmW1yo/edit?usp=sharing"",""กำแพงเพชร!J33"")"),0)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0</v>
      </c>
      <c r="M94" s="151">
        <f t="shared" ca="1" si="52"/>
        <v>0</v>
      </c>
      <c r="N94" s="151">
        <f t="shared" ca="1" si="52"/>
        <v>0</v>
      </c>
      <c r="O94" s="150">
        <f t="shared" ref="O94:O96" ca="1" si="53">IF(L94&gt;0,N94*100/L94,0)</f>
        <v>0</v>
      </c>
      <c r="P94" s="150">
        <f t="shared" ref="P94:P96" ca="1" si="54">IF(M94&gt;0,N94*100/M94,0)</f>
        <v>0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0</v>
      </c>
      <c r="M96" s="87">
        <f t="shared" ca="1" si="56"/>
        <v>0</v>
      </c>
      <c r="N96" s="87">
        <f t="shared" ca="1" si="56"/>
        <v>0</v>
      </c>
      <c r="O96" s="155">
        <f t="shared" ca="1" si="53"/>
        <v>0</v>
      </c>
      <c r="P96" s="155">
        <f t="shared" ca="1" si="54"/>
        <v>0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IFERROR(__xludf.DUMMYFUNCTION("IMPORTRANGE(""https://docs.google.com/spreadsheets/d/1Yj_ptqi66GCucihVvJfMjLAmec39IyEx_6qawtMGysU/edit?usp=sharing"",""สบก!AR20"")"),0)</f>
        <v>0</v>
      </c>
      <c r="N98" s="168">
        <f ca="1">IFERROR(__xludf.DUMMYFUNCTION("IMPORTRANGE(""https://docs.google.com/spreadsheets/d/1Yj_ptqi66GCucihVvJfMjLAmec39IyEx_6qawtMGysU/edit?usp=sharing"",""สบก!AS20"")"),0)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IFERROR(__xludf.DUMMYFUNCTION("IMPORTRANGE(""https://docs.google.com/spreadsheets/d/1Yj_ptqi66GCucihVvJfMjLAmec39IyEx_6qawtMGysU/edit?usp=sharing"",""สบก!AN20"")"),0)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IFERROR(__xludf.DUMMYFUNCTION("IMPORTRANGE(""https://docs.google.com/spreadsheets/d/1Yj_ptqi66GCucihVvJfMjLAmec39IyEx_6qawtMGysU/edit?usp=sharing"",""สบก!AO20"")"),0)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IFERROR(__xludf.DUMMYFUNCTION("IMPORTRANGE(""https://docs.google.com/spreadsheets/d/1Yj_ptqi66GCucihVvJfMjLAmec39IyEx_6qawtMGysU/edit?usp=sharing"",""สบก!AP20"")"),0)</f>
        <v>0</v>
      </c>
      <c r="M102" s="49"/>
      <c r="N102" s="49">
        <f ca="1">IFERROR(__xludf.DUMMYFUNCTION("IMPORTRANGE(""https://docs.google.com/spreadsheets/d/1Yj_ptqi66GCucihVvJfMjLAmec39IyEx_6qawtMGysU/edit?usp=sharing"",""สบก!AT20"")"),0)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IFERROR(__xludf.DUMMYFUNCTION("IMPORTRANGE(""https://docs.google.com/spreadsheets/d/11923uPwbBZFjjGgGUA6NLw09EwE0CqkOc4q9oUmW1yo/edit?usp=sharing"",""กำแพงเพชร!J39"")"),0)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IFERROR(__xludf.DUMMYFUNCTION("IMPORTRANGE(""https://docs.google.com/spreadsheets/d/11923uPwbBZFjjGgGUA6NLw09EwE0CqkOc4q9oUmW1yo/edit?usp=sharing"",""กำแพงเพชร!J40"")"),0)</f>
        <v>0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IFERROR(__xludf.DUMMYFUNCTION("IMPORTRANGE(""https://docs.google.com/spreadsheets/d/11923uPwbBZFjjGgGUA6NLw09EwE0CqkOc4q9oUmW1yo/edit?usp=sharing"",""กำแพงเพชร!J41"")"),0)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IFERROR(__xludf.DUMMYFUNCTION("IMPORTRANGE(""https://docs.google.com/spreadsheets/d/11923uPwbBZFjjGgGUA6NLw09EwE0CqkOc4q9oUmW1yo/edit?usp=sharing"",""กำแพงเพชร!J42"")"),0)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IFERROR(__xludf.DUMMYFUNCTION("IMPORTRANGE(""https://docs.google.com/spreadsheets/d/11923uPwbBZFjjGgGUA6NLw09EwE0CqkOc4q9oUmW1yo/edit?usp=sharing"",""กำแพงเพชร!I43"")"),0)</f>
        <v>0</v>
      </c>
      <c r="J108" s="203">
        <f ca="1">IFERROR(__xludf.DUMMYFUNCTION("IMPORTRANGE(""https://docs.google.com/spreadsheets/d/11923uPwbBZFjjGgGUA6NLw09EwE0CqkOc4q9oUmW1yo/edit?usp=sharing"",""กำแพงเพชร!J43"")"),0)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IFERROR(__xludf.DUMMYFUNCTION("IMPORTRANGE(""https://docs.google.com/spreadsheets/d/11923uPwbBZFjjGgGUA6NLw09EwE0CqkOc4q9oUmW1yo/edit?usp=sharing"",""กำแพงเพชร!I44"")"),0)</f>
        <v>0</v>
      </c>
      <c r="J109" s="203">
        <f ca="1">IFERROR(__xludf.DUMMYFUNCTION("IMPORTRANGE(""https://docs.google.com/spreadsheets/d/11923uPwbBZFjjGgGUA6NLw09EwE0CqkOc4q9oUmW1yo/edit?usp=sharing"",""กำแพงเพชร!J44"")"),0)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IFERROR(__xludf.DUMMYFUNCTION("IMPORTRANGE(""https://docs.google.com/spreadsheets/d/11923uPwbBZFjjGgGUA6NLw09EwE0CqkOc4q9oUmW1yo/edit?usp=sharing"",""กำแพงเพชร!I45"")"),0)</f>
        <v>0</v>
      </c>
      <c r="J110" s="203">
        <f ca="1">IFERROR(__xludf.DUMMYFUNCTION("IMPORTRANGE(""https://docs.google.com/spreadsheets/d/11923uPwbBZFjjGgGUA6NLw09EwE0CqkOc4q9oUmW1yo/edit?usp=sharing"",""กำแพงเพชร!J45"")"),0)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IFERROR(__xludf.DUMMYFUNCTION("IMPORTRANGE(""https://docs.google.com/spreadsheets/d/11923uPwbBZFjjGgGUA6NLw09EwE0CqkOc4q9oUmW1yo/edit?usp=sharing"",""กำแพงเพชร!I46"")"),0)</f>
        <v>0</v>
      </c>
      <c r="J111" s="203">
        <f ca="1">IFERROR(__xludf.DUMMYFUNCTION("IMPORTRANGE(""https://docs.google.com/spreadsheets/d/11923uPwbBZFjjGgGUA6NLw09EwE0CqkOc4q9oUmW1yo/edit?usp=sharing"",""กำแพงเพชร!J46"")"),0)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IFERROR(__xludf.DUMMYFUNCTION("IMPORTRANGE(""https://docs.google.com/spreadsheets/d/11923uPwbBZFjjGgGUA6NLw09EwE0CqkOc4q9oUmW1yo/edit?usp=sharing"",""กำแพงเพชร!I47"")"),0)</f>
        <v>0</v>
      </c>
      <c r="J112" s="203">
        <f ca="1">IFERROR(__xludf.DUMMYFUNCTION("IMPORTRANGE(""https://docs.google.com/spreadsheets/d/11923uPwbBZFjjGgGUA6NLw09EwE0CqkOc4q9oUmW1yo/edit?usp=sharing"",""กำแพงเพชร!J47"")"),0)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IFERROR(__xludf.DUMMYFUNCTION("IMPORTRANGE(""https://docs.google.com/spreadsheets/d/11923uPwbBZFjjGgGUA6NLw09EwE0CqkOc4q9oUmW1yo/edit?usp=sharing"",""กำแพงเพชร!I48"")"),0)</f>
        <v>0</v>
      </c>
      <c r="J113" s="203">
        <f ca="1">IFERROR(__xludf.DUMMYFUNCTION("IMPORTRANGE(""https://docs.google.com/spreadsheets/d/11923uPwbBZFjjGgGUA6NLw09EwE0CqkOc4q9oUmW1yo/edit?usp=sharing"",""กำแพงเพชร!J48"")"),0)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IFERROR(__xludf.DUMMYFUNCTION("IMPORTRANGE(""https://docs.google.com/spreadsheets/d/11923uPwbBZFjjGgGUA6NLw09EwE0CqkOc4q9oUmW1yo/edit?usp=sharing"",""กำแพงเพชร!J49"")"),0)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IFERROR(__xludf.DUMMYFUNCTION("IMPORTRANGE(""https://docs.google.com/spreadsheets/d/11923uPwbBZFjjGgGUA6NLw09EwE0CqkOc4q9oUmW1yo/edit?usp=sharing"",""กำแพงเพชร!J50"")"),0)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IFERROR(__xludf.DUMMYFUNCTION("IMPORTRANGE(""https://docs.google.com/spreadsheets/d/11923uPwbBZFjjGgGUA6NLw09EwE0CqkOc4q9oUmW1yo/edit?usp=sharing"",""กำแพงเพชร!I52"")"),20)</f>
        <v>20</v>
      </c>
      <c r="J117" s="141">
        <f ca="1">IFERROR(__xludf.DUMMYFUNCTION("IMPORTRANGE(""https://docs.google.com/spreadsheets/d/11923uPwbBZFjjGgGUA6NLw09EwE0CqkOc4q9oUmW1yo/edit?usp=sharing"",""กำแพงเพชร!J52"")"),20)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66080</v>
      </c>
      <c r="O118" s="150">
        <f t="shared" ref="O118:O120" ca="1" si="59">IF(L118&gt;0,N118*100/L118,0)</f>
        <v>80.155264434740417</v>
      </c>
      <c r="P118" s="150">
        <f t="shared" ref="P118:P120" ca="1" si="60">IF(M118&gt;0,N118*100/M118,0)</f>
        <v>99.458157736303434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66080</v>
      </c>
      <c r="O120" s="155">
        <f t="shared" ca="1" si="59"/>
        <v>80.155264434740417</v>
      </c>
      <c r="P120" s="155">
        <f t="shared" ca="1" si="60"/>
        <v>99.458157736303434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IFERROR(__xludf.DUMMYFUNCTION("IMPORTRANGE(""https://docs.google.com/spreadsheets/d/1Yj_ptqi66GCucihVvJfMjLAmec39IyEx_6qawtMGysU/edit?usp=sharing"",""สบก!BA20"")"),66440)</f>
        <v>66440</v>
      </c>
      <c r="N122" s="168">
        <f ca="1">IFERROR(__xludf.DUMMYFUNCTION("IMPORTRANGE(""https://docs.google.com/spreadsheets/d/1Yj_ptqi66GCucihVvJfMjLAmec39IyEx_6qawtMGysU/edit?usp=sharing"",""สบก!BB20"")"),66080)</f>
        <v>66080</v>
      </c>
      <c r="O122" s="168">
        <f ca="1">IF(L122&gt;0,N122*100/L122,0)</f>
        <v>80.155264434740417</v>
      </c>
      <c r="P122" s="168">
        <f ca="1">IF(M122&gt;0,N122*100/M122,0)</f>
        <v>99.458157736303434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IFERROR(__xludf.DUMMYFUNCTION("IMPORTRANGE(""https://docs.google.com/spreadsheets/d/1Yj_ptqi66GCucihVvJfMjLAmec39IyEx_6qawtMGysU/edit?usp=sharing"",""สบก!AW20"")"),0)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IFERROR(__xludf.DUMMYFUNCTION("IMPORTRANGE(""https://docs.google.com/spreadsheets/d/1Yj_ptqi66GCucihVvJfMjLAmec39IyEx_6qawtMGysU/edit?usp=sharing"",""สบก!AX20"")"),82440)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IFERROR(__xludf.DUMMYFUNCTION("IMPORTRANGE(""https://docs.google.com/spreadsheets/d/1Yj_ptqi66GCucihVvJfMjLAmec39IyEx_6qawtMGysU/edit?usp=sharing"",""สบก!AY20"")"),0)</f>
        <v>0</v>
      </c>
      <c r="M126" s="49"/>
      <c r="N126" s="49">
        <f ca="1">IFERROR(__xludf.DUMMYFUNCTION("IMPORTRANGE(""https://docs.google.com/spreadsheets/d/1Yj_ptqi66GCucihVvJfMjLAmec39IyEx_6qawtMGysU/edit?usp=sharing"",""สบก!BC20"")"),0)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239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IFERROR(__xludf.DUMMYFUNCTION("IMPORTRANGE(""https://docs.google.com/spreadsheets/d/11923uPwbBZFjjGgGUA6NLw09EwE0CqkOc4q9oUmW1yo/edit?usp=sharing"",""กำแพงเพชร!J58"")"),0)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IFERROR(__xludf.DUMMYFUNCTION("IMPORTRANGE(""https://docs.google.com/spreadsheets/d/11923uPwbBZFjjGgGUA6NLw09EwE0CqkOc4q9oUmW1yo/edit?usp=sharing"",""กำแพงเพชร!J59"")"),1)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IFERROR(__xludf.DUMMYFUNCTION("IMPORTRANGE(""https://docs.google.com/spreadsheets/d/11923uPwbBZFjjGgGUA6NLw09EwE0CqkOc4q9oUmW1yo/edit?usp=sharing"",""กำแพงเพชร!J60"")"),1)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IFERROR(__xludf.DUMMYFUNCTION("IMPORTRANGE(""https://docs.google.com/spreadsheets/d/11923uPwbBZFjjGgGUA6NLw09EwE0CqkOc4q9oUmW1yo/edit?usp=sharing"",""กำแพงเพชร!J61"")"),1)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IFERROR(__xludf.DUMMYFUNCTION("IMPORTRANGE(""https://docs.google.com/spreadsheets/d/11923uPwbBZFjjGgGUA6NLw09EwE0CqkOc4q9oUmW1yo/edit?usp=sharing"",""กำแพงเพชร!I62"")"),20)</f>
        <v>20</v>
      </c>
      <c r="J132" s="203">
        <f ca="1">IFERROR(__xludf.DUMMYFUNCTION("IMPORTRANGE(""https://docs.google.com/spreadsheets/d/11923uPwbBZFjjGgGUA6NLw09EwE0CqkOc4q9oUmW1yo/edit?usp=sharing"",""กำแพงเพชร!J62"")"),20)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IFERROR(__xludf.DUMMYFUNCTION("IMPORTRANGE(""https://docs.google.com/spreadsheets/d/11923uPwbBZFjjGgGUA6NLw09EwE0CqkOc4q9oUmW1yo/edit?usp=sharing"",""กำแพงเพชร!I63"")"),20)</f>
        <v>20</v>
      </c>
      <c r="J133" s="203">
        <f ca="1">IFERROR(__xludf.DUMMYFUNCTION("IMPORTRANGE(""https://docs.google.com/spreadsheets/d/11923uPwbBZFjjGgGUA6NLw09EwE0CqkOc4q9oUmW1yo/edit?usp=sharing"",""กำแพงเพชร!J63"")"),20)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IFERROR(__xludf.DUMMYFUNCTION("IMPORTRANGE(""https://docs.google.com/spreadsheets/d/11923uPwbBZFjjGgGUA6NLw09EwE0CqkOc4q9oUmW1yo/edit?usp=sharing"",""กำแพงเพชร!J64"")"),0)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IFERROR(__xludf.DUMMYFUNCTION("IMPORTRANGE(""https://docs.google.com/spreadsheets/d/11923uPwbBZFjjGgGUA6NLw09EwE0CqkOc4q9oUmW1yo/edit?usp=sharing"",""กำแพงเพชร!J65"")"),0)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IFERROR(__xludf.DUMMYFUNCTION("IMPORTRANGE(""https://docs.google.com/spreadsheets/d/11923uPwbBZFjjGgGUA6NLw09EwE0CqkOc4q9oUmW1yo/edit?usp=sharing"",""กำแพงเพชร!I68"")"),0)</f>
        <v>0</v>
      </c>
      <c r="J138" s="266">
        <f ca="1">IFERROR(__xludf.DUMMYFUNCTION("IMPORTRANGE(""https://docs.google.com/spreadsheets/d/11923uPwbBZFjjGgGUA6NLw09EwE0CqkOc4q9oUmW1yo/edit?usp=sharing"",""กำแพงเพชร!J68"")"),0)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69000</v>
      </c>
      <c r="M140" s="151">
        <f t="shared" ca="1" si="64"/>
        <v>143550</v>
      </c>
      <c r="N140" s="151">
        <f t="shared" ca="1" si="64"/>
        <v>110680</v>
      </c>
      <c r="O140" s="150">
        <f t="shared" ref="O140:O142" ca="1" si="65">IF(L140&gt;0,N140*100/L140,0)</f>
        <v>160.40579710144928</v>
      </c>
      <c r="P140" s="150">
        <f t="shared" ref="P140:P142" ca="1" si="66">IF(M140&gt;0,N140*100/M140,0)</f>
        <v>77.102055033089513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69000</v>
      </c>
      <c r="M142" s="87">
        <f t="shared" ca="1" si="68"/>
        <v>143550</v>
      </c>
      <c r="N142" s="87">
        <f t="shared" ca="1" si="68"/>
        <v>110680</v>
      </c>
      <c r="O142" s="155">
        <f t="shared" ca="1" si="65"/>
        <v>160.40579710144928</v>
      </c>
      <c r="P142" s="155">
        <f t="shared" ca="1" si="66"/>
        <v>77.102055033089513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IFERROR(__xludf.DUMMYFUNCTION("IMPORTRANGE(""https://docs.google.com/spreadsheets/d/1Yj_ptqi66GCucihVvJfMjLAmec39IyEx_6qawtMGysU/edit?usp=sharing"",""สบก!BJ20"")"),143550)</f>
        <v>143550</v>
      </c>
      <c r="N144" s="168">
        <f ca="1">IFERROR(__xludf.DUMMYFUNCTION("IMPORTRANGE(""https://docs.google.com/spreadsheets/d/1Yj_ptqi66GCucihVvJfMjLAmec39IyEx_6qawtMGysU/edit?usp=sharing"",""สบก!BK20"")"),110680)</f>
        <v>110680</v>
      </c>
      <c r="O144" s="168">
        <f ca="1">IF(L144&gt;0,N144*100/L144,0)</f>
        <v>160.40579710144928</v>
      </c>
      <c r="P144" s="168">
        <f ca="1">IF(M144&gt;0,N144*100/M144,0)</f>
        <v>77.102055033089513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IFERROR(__xludf.DUMMYFUNCTION("IMPORTRANGE(""https://docs.google.com/spreadsheets/d/1Yj_ptqi66GCucihVvJfMjLAmec39IyEx_6qawtMGysU/edit?usp=sharing"",""สบก!BF20"")"),0)</f>
        <v>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IFERROR(__xludf.DUMMYFUNCTION("IMPORTRANGE(""https://docs.google.com/spreadsheets/d/1Yj_ptqi66GCucihVvJfMjLAmec39IyEx_6qawtMGysU/edit?usp=sharing"",""สบก!BG20"")"),69000)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IFERROR(__xludf.DUMMYFUNCTION("IMPORTRANGE(""https://docs.google.com/spreadsheets/d/1Yj_ptqi66GCucihVvJfMjLAmec39IyEx_6qawtMGysU/edit?usp=sharing"",""สบก!BH20"")"),0)</f>
        <v>0</v>
      </c>
      <c r="M148" s="49"/>
      <c r="N148" s="49">
        <f ca="1">IFERROR(__xludf.DUMMYFUNCTION("IMPORTRANGE(""https://docs.google.com/spreadsheets/d/1Yj_ptqi66GCucihVvJfMjLAmec39IyEx_6qawtMGysU/edit?usp=sharing"",""สบก!BL20"")"),0)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IFERROR(__xludf.DUMMYFUNCTION("IMPORTRANGE(""https://docs.google.com/spreadsheets/d/11923uPwbBZFjjGgGUA6NLw09EwE0CqkOc4q9oUmW1yo/edit?usp=sharing"",""กำแพงเพชร!I74"")"),4)</f>
        <v>4</v>
      </c>
      <c r="J149" s="274">
        <f ca="1">IFERROR(__xludf.DUMMYFUNCTION("IMPORTRANGE(""https://docs.google.com/spreadsheets/d/11923uPwbBZFjjGgGUA6NLw09EwE0CqkOc4q9oUmW1yo/edit?usp=sharing"",""กำแพงเพชร!J74"")"),2)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IFERROR(__xludf.DUMMYFUNCTION("IMPORTRANGE(""https://docs.google.com/spreadsheets/d/11923uPwbBZFjjGgGUA6NLw09EwE0CqkOc4q9oUmW1yo/edit?usp=sharing"",""กำแพงเพชร!J79"")"),0)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IFERROR(__xludf.DUMMYFUNCTION("IMPORTRANGE(""https://docs.google.com/spreadsheets/d/11923uPwbBZFjjGgGUA6NLw09EwE0CqkOc4q9oUmW1yo/edit?usp=sharing"",""กำแพงเพชร!J80"")"),1)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IFERROR(__xludf.DUMMYFUNCTION("IMPORTRANGE(""https://docs.google.com/spreadsheets/d/11923uPwbBZFjjGgGUA6NLw09EwE0CqkOc4q9oUmW1yo/edit?usp=sharing"",""กำแพงเพชร!J81"")"),0)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IFERROR(__xludf.DUMMYFUNCTION("IMPORTRANGE(""https://docs.google.com/spreadsheets/d/11923uPwbBZFjjGgGUA6NLw09EwE0CqkOc4q9oUmW1yo/edit?usp=sharing"",""กำแพงเพชร!J82"")"),1)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IFERROR(__xludf.DUMMYFUNCTION("IMPORTRANGE(""https://docs.google.com/spreadsheets/d/11923uPwbBZFjjGgGUA6NLw09EwE0CqkOc4q9oUmW1yo/edit?usp=sharing"",""กำแพงเพชร!I83"")"),4)</f>
        <v>4</v>
      </c>
      <c r="J158" s="188">
        <f ca="1">IFERROR(__xludf.DUMMYFUNCTION("IMPORTRANGE(""https://docs.google.com/spreadsheets/d/11923uPwbBZFjjGgGUA6NLw09EwE0CqkOc4q9oUmW1yo/edit?usp=sharing"",""กำแพงเพชร!J83"")"),2)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IFERROR(__xludf.DUMMYFUNCTION("IMPORTRANGE(""https://docs.google.com/spreadsheets/d/11923uPwbBZFjjGgGUA6NLw09EwE0CqkOc4q9oUmW1yo/edit?usp=sharing"",""กำแพงเพชร!J84"")"),33)</f>
        <v>33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IFERROR(__xludf.DUMMYFUNCTION("IMPORTRANGE(""https://docs.google.com/spreadsheets/d/11923uPwbBZFjjGgGUA6NLw09EwE0CqkOc4q9oUmW1yo/edit?usp=sharing"",""กำแพงเพชร!J85"")"),33)</f>
        <v>33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IFERROR(__xludf.DUMMYFUNCTION("IMPORTRANGE(""https://docs.google.com/spreadsheets/d/11923uPwbBZFjjGgGUA6NLw09EwE0CqkOc4q9oUmW1yo/edit?usp=sharing"",""กำแพงเพชร!J86"")"),0)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IFERROR(__xludf.DUMMYFUNCTION("IMPORTRANGE(""https://docs.google.com/spreadsheets/d/11923uPwbBZFjjGgGUA6NLw09EwE0CqkOc4q9oUmW1yo/edit?usp=sharing"",""กำแพงเพชร!J87"")"),0)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IFERROR(__xludf.DUMMYFUNCTION("IMPORTRANGE(""https://docs.google.com/spreadsheets/d/11923uPwbBZFjjGgGUA6NLw09EwE0CqkOc4q9oUmW1yo/edit?usp=sharing"",""กำแพงเพชร!J88"")"),0)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IFERROR(__xludf.DUMMYFUNCTION("IMPORTRANGE(""https://docs.google.com/spreadsheets/d/11923uPwbBZFjjGgGUA6NLw09EwE0CqkOc4q9oUmW1yo/edit?usp=sharing"",""กำแพงเพชร!I89"")"),3)</f>
        <v>3</v>
      </c>
      <c r="J164" s="282">
        <f ca="1">IFERROR(__xludf.DUMMYFUNCTION("IMPORTRANGE(""https://docs.google.com/spreadsheets/d/11923uPwbBZFjjGgGUA6NLw09EwE0CqkOc4q9oUmW1yo/edit?usp=sharing"",""กำแพงเพชร!J89"")"),0)</f>
        <v>0</v>
      </c>
      <c r="K164" s="283">
        <f ca="1">IF(I164&gt;0,J164*100/I164,0)</f>
        <v>0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IFERROR(__xludf.DUMMYFUNCTION("IMPORTRANGE(""https://docs.google.com/spreadsheets/d/11923uPwbBZFjjGgGUA6NLw09EwE0CqkOc4q9oUmW1yo/edit?usp=sharing"",""กำแพงเพชร!J94"")"),0)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IFERROR(__xludf.DUMMYFUNCTION("IMPORTRANGE(""https://docs.google.com/spreadsheets/d/11923uPwbBZFjjGgGUA6NLw09EwE0CqkOc4q9oUmW1yo/edit?usp=sharing"",""กำแพงเพชร!J95"")"),1)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IFERROR(__xludf.DUMMYFUNCTION("IMPORTRANGE(""https://docs.google.com/spreadsheets/d/11923uPwbBZFjjGgGUA6NLw09EwE0CqkOc4q9oUmW1yo/edit?usp=sharing"",""กำแพงเพชร!J96"")"),1)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IFERROR(__xludf.DUMMYFUNCTION("IMPORTRANGE(""https://docs.google.com/spreadsheets/d/11923uPwbBZFjjGgGUA6NLw09EwE0CqkOc4q9oUmW1yo/edit?usp=sharing"",""กำแพงเพชร!J97"")"),0)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IFERROR(__xludf.DUMMYFUNCTION("IMPORTRANGE(""https://docs.google.com/spreadsheets/d/11923uPwbBZFjjGgGUA6NLw09EwE0CqkOc4q9oUmW1yo/edit?usp=sharing"",""กำแพงเพชร!I98"")"),3)</f>
        <v>3</v>
      </c>
      <c r="J173" s="188">
        <f ca="1">IFERROR(__xludf.DUMMYFUNCTION("IMPORTRANGE(""https://docs.google.com/spreadsheets/d/11923uPwbBZFjjGgGUA6NLw09EwE0CqkOc4q9oUmW1yo/edit?usp=sharing"",""กำแพงเพชร!J98"")"),0)</f>
        <v>0</v>
      </c>
      <c r="K173" s="163">
        <f ca="1">IF(I173&gt;0,J173*100/I173,0)</f>
        <v>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IFERROR(__xludf.DUMMYFUNCTION("IMPORTRANGE(""https://docs.google.com/spreadsheets/d/11923uPwbBZFjjGgGUA6NLw09EwE0CqkOc4q9oUmW1yo/edit?usp=sharing"",""กำแพงเพชร!J99"")"),0)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IFERROR(__xludf.DUMMYFUNCTION("IMPORTRANGE(""https://docs.google.com/spreadsheets/d/11923uPwbBZFjjGgGUA6NLw09EwE0CqkOc4q9oUmW1yo/edit?usp=sharing"",""กำแพงเพชร!J100"")"),0)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IFERROR(__xludf.DUMMYFUNCTION("IMPORTRANGE(""https://docs.google.com/spreadsheets/d/11923uPwbBZFjjGgGUA6NLw09EwE0CqkOc4q9oUmW1yo/edit?usp=sharing"",""กำแพงเพชร!I101"")"),0)</f>
        <v>0</v>
      </c>
      <c r="J176" s="282">
        <f ca="1">IFERROR(__xludf.DUMMYFUNCTION("IMPORTRANGE(""https://docs.google.com/spreadsheets/d/11923uPwbBZFjjGgGUA6NLw09EwE0CqkOc4q9oUmW1yo/edit?usp=sharing"",""กำแพงเพชร!J101"")"),0)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IFERROR(__xludf.DUMMYFUNCTION("IMPORTRANGE(""https://docs.google.com/spreadsheets/d/11923uPwbBZFjjGgGUA6NLw09EwE0CqkOc4q9oUmW1yo/edit?usp=sharing"",""กำแพงเพชร!J106"")"),0)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IFERROR(__xludf.DUMMYFUNCTION("IMPORTRANGE(""https://docs.google.com/spreadsheets/d/11923uPwbBZFjjGgGUA6NLw09EwE0CqkOc4q9oUmW1yo/edit?usp=sharing"",""กำแพงเพชร!J107"")"),0)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IFERROR(__xludf.DUMMYFUNCTION("IMPORTRANGE(""https://docs.google.com/spreadsheets/d/11923uPwbBZFjjGgGUA6NLw09EwE0CqkOc4q9oUmW1yo/edit?usp=sharing"",""กำแพงเพชร!J108"")"),0)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IFERROR(__xludf.DUMMYFUNCTION("IMPORTRANGE(""https://docs.google.com/spreadsheets/d/11923uPwbBZFjjGgGUA6NLw09EwE0CqkOc4q9oUmW1yo/edit?usp=sharing"",""กำแพงเพชร!J109"")"),0)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IFERROR(__xludf.DUMMYFUNCTION("IMPORTRANGE(""https://docs.google.com/spreadsheets/d/11923uPwbBZFjjGgGUA6NLw09EwE0CqkOc4q9oUmW1yo/edit?usp=sharing"",""กำแพงเพชร!I110"")"),0)</f>
        <v>0</v>
      </c>
      <c r="J185" s="203">
        <f ca="1">IFERROR(__xludf.DUMMYFUNCTION("IMPORTRANGE(""https://docs.google.com/spreadsheets/d/11923uPwbBZFjjGgGUA6NLw09EwE0CqkOc4q9oUmW1yo/edit?usp=sharing"",""กำแพงเพชร!J110"")"),0)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IFERROR(__xludf.DUMMYFUNCTION("IMPORTRANGE(""https://docs.google.com/spreadsheets/d/11923uPwbBZFjjGgGUA6NLw09EwE0CqkOc4q9oUmW1yo/edit?usp=sharing"",""กำแพงเพชร!I111"")"),0)</f>
        <v>0</v>
      </c>
      <c r="J186" s="203">
        <f ca="1">IFERROR(__xludf.DUMMYFUNCTION("IMPORTRANGE(""https://docs.google.com/spreadsheets/d/11923uPwbBZFjjGgGUA6NLw09EwE0CqkOc4q9oUmW1yo/edit?usp=sharing"",""กำแพงเพชร!J111"")"),0)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IFERROR(__xludf.DUMMYFUNCTION("IMPORTRANGE(""https://docs.google.com/spreadsheets/d/11923uPwbBZFjjGgGUA6NLw09EwE0CqkOc4q9oUmW1yo/edit?usp=sharing"",""กำแพงเพชร!J112"")"),0)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IFERROR(__xludf.DUMMYFUNCTION("IMPORTRANGE(""https://docs.google.com/spreadsheets/d/11923uPwbBZFjjGgGUA6NLw09EwE0CqkOc4q9oUmW1yo/edit?usp=sharing"",""กำแพงเพชร!J113"")"),0)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IFERROR(__xludf.DUMMYFUNCTION("IMPORTRANGE(""https://docs.google.com/spreadsheets/d/11923uPwbBZFjjGgGUA6NLw09EwE0CqkOc4q9oUmW1yo/edit?usp=sharing"",""กำแพงเพชร!I114"")"),50000)</f>
        <v>50000</v>
      </c>
      <c r="J189" s="282">
        <f ca="1">IFERROR(__xludf.DUMMYFUNCTION("IMPORTRANGE(""https://docs.google.com/spreadsheets/d/11923uPwbBZFjjGgGUA6NLw09EwE0CqkOc4q9oUmW1yo/edit?usp=sharing"",""กำแพงเพชร!J114"")"),0)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IFERROR(__xludf.DUMMYFUNCTION("IMPORTRANGE(""https://docs.google.com/spreadsheets/d/11923uPwbBZFjjGgGUA6NLw09EwE0CqkOc4q9oUmW1yo/edit?usp=sharing"",""กำแพงเพชร!J119"")"),0)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IFERROR(__xludf.DUMMYFUNCTION("IMPORTRANGE(""https://docs.google.com/spreadsheets/d/11923uPwbBZFjjGgGUA6NLw09EwE0CqkOc4q9oUmW1yo/edit?usp=sharing"",""กำแพงเพชร!J120"")"),1)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IFERROR(__xludf.DUMMYFUNCTION("IMPORTRANGE(""https://docs.google.com/spreadsheets/d/11923uPwbBZFjjGgGUA6NLw09EwE0CqkOc4q9oUmW1yo/edit?usp=sharing"",""กำแพงเพชร!J121"")"),0)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IFERROR(__xludf.DUMMYFUNCTION("IMPORTRANGE(""https://docs.google.com/spreadsheets/d/11923uPwbBZFjjGgGUA6NLw09EwE0CqkOc4q9oUmW1yo/edit?usp=sharing"",""กำแพงเพชร!J122"")"),0)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IFERROR(__xludf.DUMMYFUNCTION("IMPORTRANGE(""https://docs.google.com/spreadsheets/d/11923uPwbBZFjjGgGUA6NLw09EwE0CqkOc4q9oUmW1yo/edit?usp=sharing"",""กำแพงเพชร!I124"")"),50000)</f>
        <v>50000</v>
      </c>
      <c r="J199" s="188">
        <f ca="1">IFERROR(__xludf.DUMMYFUNCTION("IMPORTRANGE(""https://docs.google.com/spreadsheets/d/11923uPwbBZFjjGgGUA6NLw09EwE0CqkOc4q9oUmW1yo/edit?usp=sharing"",""กำแพงเพชร!J124"")"),0)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IFERROR(__xludf.DUMMYFUNCTION("IMPORTRANGE(""https://docs.google.com/spreadsheets/d/11923uPwbBZFjjGgGUA6NLw09EwE0CqkOc4q9oUmW1yo/edit?usp=sharing"",""กำแพงเพชร!I125"")"),50000)</f>
        <v>50000</v>
      </c>
      <c r="J200" s="188">
        <f ca="1">IFERROR(__xludf.DUMMYFUNCTION("IMPORTRANGE(""https://docs.google.com/spreadsheets/d/11923uPwbBZFjjGgGUA6NLw09EwE0CqkOc4q9oUmW1yo/edit?usp=sharing"",""กำแพงเพชร!J125"")"),0)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IFERROR(__xludf.DUMMYFUNCTION("IMPORTRANGE(""https://docs.google.com/spreadsheets/d/11923uPwbBZFjjGgGUA6NLw09EwE0CqkOc4q9oUmW1yo/edit?usp=sharing"",""กำแพงเพชร!I126"")"),0)</f>
        <v>0</v>
      </c>
      <c r="J201" s="188">
        <f ca="1">IFERROR(__xludf.DUMMYFUNCTION("IMPORTRANGE(""https://docs.google.com/spreadsheets/d/11923uPwbBZFjjGgGUA6NLw09EwE0CqkOc4q9oUmW1yo/edit?usp=sharing"",""กำแพงเพชร!J126"")"),0)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IFERROR(__xludf.DUMMYFUNCTION("IMPORTRANGE(""https://docs.google.com/spreadsheets/d/11923uPwbBZFjjGgGUA6NLw09EwE0CqkOc4q9oUmW1yo/edit?usp=sharing"",""กำแพงเพชร!J127"")"),0)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IFERROR(__xludf.DUMMYFUNCTION("IMPORTRANGE(""https://docs.google.com/spreadsheets/d/11923uPwbBZFjjGgGUA6NLw09EwE0CqkOc4q9oUmW1yo/edit?usp=sharing"",""กำแพงเพชร!J128"")"),0)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IFERROR(__xludf.DUMMYFUNCTION("IMPORTRANGE(""https://docs.google.com/spreadsheets/d/11923uPwbBZFjjGgGUA6NLw09EwE0CqkOc4q9oUmW1yo/edit?usp=sharing"",""กำแพงเพชร!I129"")"),0)</f>
        <v>0</v>
      </c>
      <c r="J204" s="282">
        <f ca="1">IFERROR(__xludf.DUMMYFUNCTION("IMPORTRANGE(""https://docs.google.com/spreadsheets/d/11923uPwbBZFjjGgGUA6NLw09EwE0CqkOc4q9oUmW1yo/edit?usp=sharing"",""กำแพงเพชร!J129"")"),0)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IFERROR(__xludf.DUMMYFUNCTION("IMPORTRANGE(""https://docs.google.com/spreadsheets/d/11923uPwbBZFjjGgGUA6NLw09EwE0CqkOc4q9oUmW1yo/edit?usp=sharing"",""กำแพงเพชร!J134"")"),0)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IFERROR(__xludf.DUMMYFUNCTION("IMPORTRANGE(""https://docs.google.com/spreadsheets/d/11923uPwbBZFjjGgGUA6NLw09EwE0CqkOc4q9oUmW1yo/edit?usp=sharing"",""กำแพงเพชร!J135"")"),0)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IFERROR(__xludf.DUMMYFUNCTION("IMPORTRANGE(""https://docs.google.com/spreadsheets/d/11923uPwbBZFjjGgGUA6NLw09EwE0CqkOc4q9oUmW1yo/edit?usp=sharing"",""กำแพงเพชร!J136"")"),0)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IFERROR(__xludf.DUMMYFUNCTION("IMPORTRANGE(""https://docs.google.com/spreadsheets/d/11923uPwbBZFjjGgGUA6NLw09EwE0CqkOc4q9oUmW1yo/edit?usp=sharing"",""กำแพงเพชร!J137"")"),0)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IFERROR(__xludf.DUMMYFUNCTION("IMPORTRANGE(""https://docs.google.com/spreadsheets/d/11923uPwbBZFjjGgGUA6NLw09EwE0CqkOc4q9oUmW1yo/edit?usp=sharing"",""กำแพงเพชร!I138"")"),0)</f>
        <v>0</v>
      </c>
      <c r="J213" s="203">
        <f ca="1">IFERROR(__xludf.DUMMYFUNCTION("IMPORTRANGE(""https://docs.google.com/spreadsheets/d/11923uPwbBZFjjGgGUA6NLw09EwE0CqkOc4q9oUmW1yo/edit?usp=sharing"",""กำแพงเพชร!J138"")"),0)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IFERROR(__xludf.DUMMYFUNCTION("IMPORTRANGE(""https://docs.google.com/spreadsheets/d/11923uPwbBZFjjGgGUA6NLw09EwE0CqkOc4q9oUmW1yo/edit?usp=sharing"",""กำแพงเพชร!I140"")"),0)</f>
        <v>0</v>
      </c>
      <c r="J215" s="203">
        <f ca="1">IFERROR(__xludf.DUMMYFUNCTION("IMPORTRANGE(""https://docs.google.com/spreadsheets/d/11923uPwbBZFjjGgGUA6NLw09EwE0CqkOc4q9oUmW1yo/edit?usp=sharing"",""กำแพงเพชร!J140"")"),0)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IFERROR(__xludf.DUMMYFUNCTION("IMPORTRANGE(""https://docs.google.com/spreadsheets/d/11923uPwbBZFjjGgGUA6NLw09EwE0CqkOc4q9oUmW1yo/edit?usp=sharing"",""กำแพงเพชร!I141"")"),0)</f>
        <v>0</v>
      </c>
      <c r="J216" s="203">
        <f ca="1">IFERROR(__xludf.DUMMYFUNCTION("IMPORTRANGE(""https://docs.google.com/spreadsheets/d/11923uPwbBZFjjGgGUA6NLw09EwE0CqkOc4q9oUmW1yo/edit?usp=sharing"",""กำแพงเพชร!J141"")"),0)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IFERROR(__xludf.DUMMYFUNCTION("IMPORTRANGE(""https://docs.google.com/spreadsheets/d/11923uPwbBZFjjGgGUA6NLw09EwE0CqkOc4q9oUmW1yo/edit?usp=sharing"",""กำแพงเพชร!J142"")"),0)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IFERROR(__xludf.DUMMYFUNCTION("IMPORTRANGE(""https://docs.google.com/spreadsheets/d/11923uPwbBZFjjGgGUA6NLw09EwE0CqkOc4q9oUmW1yo/edit?usp=sharing"",""กำแพงเพชร!J143"")"),0)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IFERROR(__xludf.DUMMYFUNCTION("IMPORTRANGE(""https://docs.google.com/spreadsheets/d/11923uPwbBZFjjGgGUA6NLw09EwE0CqkOc4q9oUmW1yo/edit?usp=sharing"",""กำแพงเพชร!I144"")"),15)</f>
        <v>15</v>
      </c>
      <c r="J219" s="266">
        <f ca="1">IFERROR(__xludf.DUMMYFUNCTION("IMPORTRANGE(""https://docs.google.com/spreadsheets/d/11923uPwbBZFjjGgGUA6NLw09EwE0CqkOc4q9oUmW1yo/edit?usp=sharing"",""กำแพงเพชร!J144"")"),15)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21125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21125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IFERROR(__xludf.DUMMYFUNCTION("IMPORTRANGE(""https://docs.google.com/spreadsheets/d/1Yj_ptqi66GCucihVvJfMjLAmec39IyEx_6qawtMGysU/edit?usp=sharing"",""สบก!BS20"")"),21125)</f>
        <v>21125</v>
      </c>
      <c r="N224" s="168">
        <f ca="1">IFERROR(__xludf.DUMMYFUNCTION("IMPORTRANGE(""https://docs.google.com/spreadsheets/d/1Yj_ptqi66GCucihVvJfMjLAmec39IyEx_6qawtMGysU/edit?usp=sharing"",""สบก!BT20"")"),21125)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IFERROR(__xludf.DUMMYFUNCTION("IMPORTRANGE(""https://docs.google.com/spreadsheets/d/1Yj_ptqi66GCucihVvJfMjLAmec39IyEx_6qawtMGysU/edit?usp=sharing"",""สบก!BO20"")"),0)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IFERROR(__xludf.DUMMYFUNCTION("IMPORTRANGE(""https://docs.google.com/spreadsheets/d/1Yj_ptqi66GCucihVvJfMjLAmec39IyEx_6qawtMGysU/edit?usp=sharing"",""สบก!BP20"")"),21125)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IFERROR(__xludf.DUMMYFUNCTION("IMPORTRANGE(""https://docs.google.com/spreadsheets/d/1Yj_ptqi66GCucihVvJfMjLAmec39IyEx_6qawtMGysU/edit?usp=sharing"",""สบก!BQ20"")"),0)</f>
        <v>0</v>
      </c>
      <c r="M228" s="49"/>
      <c r="N228" s="49">
        <f ca="1">IFERROR(__xludf.DUMMYFUNCTION("IMPORTRANGE(""https://docs.google.com/spreadsheets/d/1Yj_ptqi66GCucihVvJfMjLAmec39IyEx_6qawtMGysU/edit?usp=sharing"",""สบก!BU20"")"),0)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IFERROR(__xludf.DUMMYFUNCTION("IMPORTRANGE(""https://docs.google.com/spreadsheets/d/11923uPwbBZFjjGgGUA6NLw09EwE0CqkOc4q9oUmW1yo/edit?usp=sharing"",""กำแพงเพชร!I149"")"),15)</f>
        <v>15</v>
      </c>
      <c r="J229" s="266">
        <f ca="1">IFERROR(__xludf.DUMMYFUNCTION("IMPORTRANGE(""https://docs.google.com/spreadsheets/d/11923uPwbBZFjjGgGUA6NLw09EwE0CqkOc4q9oUmW1yo/edit?usp=sharing"",""กำแพงเพชร!J149"")"),15)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IFERROR(__xludf.DUMMYFUNCTION("IMPORTRANGE(""https://docs.google.com/spreadsheets/d/11923uPwbBZFjjGgGUA6NLw09EwE0CqkOc4q9oUmW1yo/edit?usp=sharing"",""กำแพงเพชร!J151"")"),0)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IFERROR(__xludf.DUMMYFUNCTION("IMPORTRANGE(""https://docs.google.com/spreadsheets/d/11923uPwbBZFjjGgGUA6NLw09EwE0CqkOc4q9oUmW1yo/edit?usp=sharing"",""กำแพงเพชร!J152"")"),0)</f>
        <v>0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IFERROR(__xludf.DUMMYFUNCTION("IMPORTRANGE(""https://docs.google.com/spreadsheets/d/11923uPwbBZFjjGgGUA6NLw09EwE0CqkOc4q9oUmW1yo/edit?usp=sharing"",""กำแพงเพชร!J153"")"),0)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IFERROR(__xludf.DUMMYFUNCTION("IMPORTRANGE(""https://docs.google.com/spreadsheets/d/11923uPwbBZFjjGgGUA6NLw09EwE0CqkOc4q9oUmW1yo/edit?usp=sharing"",""กำแพงเพชร!J154"")"),0)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IFERROR(__xludf.DUMMYFUNCTION("IMPORTRANGE(""https://docs.google.com/spreadsheets/d/11923uPwbBZFjjGgGUA6NLw09EwE0CqkOc4q9oUmW1yo/edit?usp=sharing"",""กำแพงเพชร!I155"")"),15)</f>
        <v>15</v>
      </c>
      <c r="J235" s="188">
        <f ca="1">IFERROR(__xludf.DUMMYFUNCTION("IMPORTRANGE(""https://docs.google.com/spreadsheets/d/11923uPwbBZFjjGgGUA6NLw09EwE0CqkOc4q9oUmW1yo/edit?usp=sharing"",""กำแพงเพชร!J155"")"),15)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IFERROR(__xludf.DUMMYFUNCTION("IMPORTRANGE(""https://docs.google.com/spreadsheets/d/11923uPwbBZFjjGgGUA6NLw09EwE0CqkOc4q9oUmW1yo/edit?usp=sharing"",""กำแพงเพชร!J156"")"),1)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IFERROR(__xludf.DUMMYFUNCTION("IMPORTRANGE(""https://docs.google.com/spreadsheets/d/11923uPwbBZFjjGgGUA6NLw09EwE0CqkOc4q9oUmW1yo/edit?usp=sharing"",""กำแพงเพชร!J157"")"),1)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IFERROR(__xludf.DUMMYFUNCTION("IMPORTRANGE(""https://docs.google.com/spreadsheets/d/11923uPwbBZFjjGgGUA6NLw09EwE0CqkOc4q9oUmW1yo/edit?usp=sharing"",""กำแพงเพชร!I158"")"),0)</f>
        <v>0</v>
      </c>
      <c r="J238" s="266">
        <f ca="1">IFERROR(__xludf.DUMMYFUNCTION("IMPORTRANGE(""https://docs.google.com/spreadsheets/d/11923uPwbBZFjjGgGUA6NLw09EwE0CqkOc4q9oUmW1yo/edit?usp=sharing"",""กำแพงเพชร!J158"")"),0)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IFERROR(__xludf.DUMMYFUNCTION("IMPORTRANGE(""https://docs.google.com/spreadsheets/d/11923uPwbBZFjjGgGUA6NLw09EwE0CqkOc4q9oUmW1yo/edit?usp=sharing"",""กำแพงเพชร!J159"")"),"")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IFERROR(__xludf.DUMMYFUNCTION("IMPORTRANGE(""https://docs.google.com/spreadsheets/d/11923uPwbBZFjjGgGUA6NLw09EwE0CqkOc4q9oUmW1yo/edit?usp=sharing"",""กำแพงเพชร!J161"")"),0)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IFERROR(__xludf.DUMMYFUNCTION("IMPORTRANGE(""https://docs.google.com/spreadsheets/d/11923uPwbBZFjjGgGUA6NLw09EwE0CqkOc4q9oUmW1yo/edit?usp=sharing"",""กำแพงเพชร!J162"")"),0)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IFERROR(__xludf.DUMMYFUNCTION("IMPORTRANGE(""https://docs.google.com/spreadsheets/d/11923uPwbBZFjjGgGUA6NLw09EwE0CqkOc4q9oUmW1yo/edit?usp=sharing"",""กำแพงเพชร!J163"")"),0)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IFERROR(__xludf.DUMMYFUNCTION("IMPORTRANGE(""https://docs.google.com/spreadsheets/d/11923uPwbBZFjjGgGUA6NLw09EwE0CqkOc4q9oUmW1yo/edit?usp=sharing"",""กำแพงเพชร!I164"")"),0)</f>
        <v>0</v>
      </c>
      <c r="J244" s="187">
        <f ca="1">IFERROR(__xludf.DUMMYFUNCTION("IMPORTRANGE(""https://docs.google.com/spreadsheets/d/11923uPwbBZFjjGgGUA6NLw09EwE0CqkOc4q9oUmW1yo/edit?usp=sharing"",""กำแพงเพชร!J164"")"),0)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IFERROR(__xludf.DUMMYFUNCTION("IMPORTRANGE(""https://docs.google.com/spreadsheets/d/11923uPwbBZFjjGgGUA6NLw09EwE0CqkOc4q9oUmW1yo/edit?usp=sharing"",""กำแพงเพชร!J165"")"),0)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IFERROR(__xludf.DUMMYFUNCTION("IMPORTRANGE(""https://docs.google.com/spreadsheets/d/11923uPwbBZFjjGgGUA6NLw09EwE0CqkOc4q9oUmW1yo/edit?usp=sharing"",""กำแพงเพชร!J166"")"),0)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IFERROR(__xludf.DUMMYFUNCTION("IMPORTRANGE(""https://docs.google.com/spreadsheets/d/11923uPwbBZFjjGgGUA6NLw09EwE0CqkOc4q9oUmW1yo/edit?usp=sharing"",""กำแพงเพชร!I169"")"),0)</f>
        <v>0</v>
      </c>
      <c r="J249" s="314">
        <f ca="1">IFERROR(__xludf.DUMMYFUNCTION("IMPORTRANGE(""https://docs.google.com/spreadsheets/d/11923uPwbBZFjjGgGUA6NLw09EwE0CqkOc4q9oUmW1yo/edit?usp=sharing"",""กำแพงเพชร!J169"")"),0)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IFERROR(__xludf.DUMMYFUNCTION("IMPORTRANGE(""https://docs.google.com/spreadsheets/d/1Yj_ptqi66GCucihVvJfMjLAmec39IyEx_6qawtMGysU/edit?usp=sharing"",""สบก!CB20"")"),0)</f>
        <v>0</v>
      </c>
      <c r="N254" s="168">
        <f ca="1">IFERROR(__xludf.DUMMYFUNCTION("IMPORTRANGE(""https://docs.google.com/spreadsheets/d/1Yj_ptqi66GCucihVvJfMjLAmec39IyEx_6qawtMGysU/edit?usp=sharing"",""สบก!CC20"")"),0)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IFERROR(__xludf.DUMMYFUNCTION("IMPORTRANGE(""https://docs.google.com/spreadsheets/d/1Yj_ptqi66GCucihVvJfMjLAmec39IyEx_6qawtMGysU/edit?usp=sharing"",""สบก!BX20"")"),0)</f>
        <v>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IFERROR(__xludf.DUMMYFUNCTION("IMPORTRANGE(""https://docs.google.com/spreadsheets/d/1Yj_ptqi66GCucihVvJfMjLAmec39IyEx_6qawtMGysU/edit?usp=sharing"",""สบก!BY20"")"),0)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IFERROR(__xludf.DUMMYFUNCTION("IMPORTRANGE(""https://docs.google.com/spreadsheets/d/1Yj_ptqi66GCucihVvJfMjLAmec39IyEx_6qawtMGysU/edit?usp=sharing"",""สบก!BZ20"")"),0)</f>
        <v>0</v>
      </c>
      <c r="M258" s="49"/>
      <c r="N258" s="49">
        <f ca="1">IFERROR(__xludf.DUMMYFUNCTION("IMPORTRANGE(""https://docs.google.com/spreadsheets/d/1Yj_ptqi66GCucihVvJfMjLAmec39IyEx_6qawtMGysU/edit?usp=sharing"",""สบก!CD20"")"),0)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IFERROR(__xludf.DUMMYFUNCTION("IMPORTRANGE(""https://docs.google.com/spreadsheets/d/11923uPwbBZFjjGgGUA6NLw09EwE0CqkOc4q9oUmW1yo/edit?usp=sharing"",""กำแพงเพชร!J175"")"),0)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IFERROR(__xludf.DUMMYFUNCTION("IMPORTRANGE(""https://docs.google.com/spreadsheets/d/11923uPwbBZFjjGgGUA6NLw09EwE0CqkOc4q9oUmW1yo/edit?usp=sharing"",""กำแพงเพชร!J176"")"),0)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IFERROR(__xludf.DUMMYFUNCTION("IMPORTRANGE(""https://docs.google.com/spreadsheets/d/11923uPwbBZFjjGgGUA6NLw09EwE0CqkOc4q9oUmW1yo/edit?usp=sharing"",""กำแพงเพชร!J177"")"),0)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IFERROR(__xludf.DUMMYFUNCTION("IMPORTRANGE(""https://docs.google.com/spreadsheets/d/11923uPwbBZFjjGgGUA6NLw09EwE0CqkOc4q9oUmW1yo/edit?usp=sharing"",""กำแพงเพชร!J178"")"),0)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IFERROR(__xludf.DUMMYFUNCTION("IMPORTRANGE(""https://docs.google.com/spreadsheets/d/11923uPwbBZFjjGgGUA6NLw09EwE0CqkOc4q9oUmW1yo/edit?usp=sharing"",""กำแพงเพชร!I179"")"),0)</f>
        <v>0</v>
      </c>
      <c r="J264" s="188">
        <f ca="1">IFERROR(__xludf.DUMMYFUNCTION("IMPORTRANGE(""https://docs.google.com/spreadsheets/d/11923uPwbBZFjjGgGUA6NLw09EwE0CqkOc4q9oUmW1yo/edit?usp=sharing"",""กำแพงเพชร!J179"")"),0)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IFERROR(__xludf.DUMMYFUNCTION("IMPORTRANGE(""https://docs.google.com/spreadsheets/d/11923uPwbBZFjjGgGUA6NLw09EwE0CqkOc4q9oUmW1yo/edit?usp=sharing"",""กำแพงเพชร!I180"")"),0)</f>
        <v>0</v>
      </c>
      <c r="J265" s="188">
        <f ca="1">IFERROR(__xludf.DUMMYFUNCTION("IMPORTRANGE(""https://docs.google.com/spreadsheets/d/11923uPwbBZFjjGgGUA6NLw09EwE0CqkOc4q9oUmW1yo/edit?usp=sharing"",""กำแพงเพชร!J180"")"),0)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IFERROR(__xludf.DUMMYFUNCTION("IMPORTRANGE(""https://docs.google.com/spreadsheets/d/11923uPwbBZFjjGgGUA6NLw09EwE0CqkOc4q9oUmW1yo/edit?usp=sharing"",""กำแพงเพชร!I181"")"),0)</f>
        <v>0</v>
      </c>
      <c r="J266" s="188">
        <f ca="1">IFERROR(__xludf.DUMMYFUNCTION("IMPORTRANGE(""https://docs.google.com/spreadsheets/d/11923uPwbBZFjjGgGUA6NLw09EwE0CqkOc4q9oUmW1yo/edit?usp=sharing"",""กำแพงเพชร!J181"")"),0)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IFERROR(__xludf.DUMMYFUNCTION("IMPORTRANGE(""https://docs.google.com/spreadsheets/d/11923uPwbBZFjjGgGUA6NLw09EwE0CqkOc4q9oUmW1yo/edit?usp=sharing"",""กำแพงเพชร!I182"")"),0)</f>
        <v>0</v>
      </c>
      <c r="J267" s="188">
        <f ca="1">IFERROR(__xludf.DUMMYFUNCTION("IMPORTRANGE(""https://docs.google.com/spreadsheets/d/11923uPwbBZFjjGgGUA6NLw09EwE0CqkOc4q9oUmW1yo/edit?usp=sharing"",""กำแพงเพชร!J182"")"),0)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IFERROR(__xludf.DUMMYFUNCTION("IMPORTRANGE(""https://docs.google.com/spreadsheets/d/11923uPwbBZFjjGgGUA6NLw09EwE0CqkOc4q9oUmW1yo/edit?usp=sharing"",""กำแพงเพชร!J183"")"),0)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IFERROR(__xludf.DUMMYFUNCTION("IMPORTRANGE(""https://docs.google.com/spreadsheets/d/11923uPwbBZFjjGgGUA6NLw09EwE0CqkOc4q9oUmW1yo/edit?usp=sharing"",""กำแพงเพชร!J184"")"),0)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IFERROR(__xludf.DUMMYFUNCTION("IMPORTRANGE(""https://docs.google.com/spreadsheets/d/11923uPwbBZFjjGgGUA6NLw09EwE0CqkOc4q9oUmW1yo/edit?usp=sharing"",""กำแพงเพชร!I185"")"),15)</f>
        <v>15</v>
      </c>
      <c r="J270" s="314">
        <f ca="1">IFERROR(__xludf.DUMMYFUNCTION("IMPORTRANGE(""https://docs.google.com/spreadsheets/d/11923uPwbBZFjjGgGUA6NLw09EwE0CqkOc4q9oUmW1yo/edit?usp=sharing"",""กำแพงเพชร!J185"")"),15)</f>
        <v>15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319200</v>
      </c>
      <c r="M271" s="151">
        <f t="shared" ca="1" si="83"/>
        <v>164250</v>
      </c>
      <c r="N271" s="151">
        <f t="shared" ca="1" si="83"/>
        <v>106200</v>
      </c>
      <c r="O271" s="150">
        <f t="shared" ref="O271:O273" ca="1" si="84">IF(L271&gt;0,N271*100/L271,0)</f>
        <v>33.270676691729321</v>
      </c>
      <c r="P271" s="150">
        <f t="shared" ref="P271:P273" ca="1" si="85">IF(M271&gt;0,N271*100/M271,0)</f>
        <v>64.657534246575338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319200</v>
      </c>
      <c r="M273" s="87">
        <f t="shared" ca="1" si="87"/>
        <v>164250</v>
      </c>
      <c r="N273" s="87">
        <f t="shared" ca="1" si="87"/>
        <v>106200</v>
      </c>
      <c r="O273" s="155">
        <f t="shared" ca="1" si="84"/>
        <v>33.270676691729321</v>
      </c>
      <c r="P273" s="155">
        <f t="shared" ca="1" si="85"/>
        <v>64.657534246575338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319200</v>
      </c>
      <c r="M275" s="167">
        <f ca="1">IFERROR(__xludf.DUMMYFUNCTION("IMPORTRANGE(""https://docs.google.com/spreadsheets/d/1Yj_ptqi66GCucihVvJfMjLAmec39IyEx_6qawtMGysU/edit?usp=sharing"",""สบก!CK20"")"),164250)</f>
        <v>164250</v>
      </c>
      <c r="N275" s="168">
        <f ca="1">IFERROR(__xludf.DUMMYFUNCTION("IMPORTRANGE(""https://docs.google.com/spreadsheets/d/1Yj_ptqi66GCucihVvJfMjLAmec39IyEx_6qawtMGysU/edit?usp=sharing"",""สบก!CL20"")"),106200)</f>
        <v>106200</v>
      </c>
      <c r="O275" s="168">
        <f ca="1">IF(L275&gt;0,N275*100/L275,0)</f>
        <v>33.270676691729321</v>
      </c>
      <c r="P275" s="168">
        <f ca="1">IF(M275&gt;0,N275*100/M275,0)</f>
        <v>64.657534246575338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IFERROR(__xludf.DUMMYFUNCTION("IMPORTRANGE(""https://docs.google.com/spreadsheets/d/1Yj_ptqi66GCucihVvJfMjLAmec39IyEx_6qawtMGysU/edit?usp=sharing"",""สบก!CG20"")"),264000)</f>
        <v>264000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IFERROR(__xludf.DUMMYFUNCTION("IMPORTRANGE(""https://docs.google.com/spreadsheets/d/1Yj_ptqi66GCucihVvJfMjLAmec39IyEx_6qawtMGysU/edit?usp=sharing"",""สบก!CH20"")"),55200)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IFERROR(__xludf.DUMMYFUNCTION("IMPORTRANGE(""https://docs.google.com/spreadsheets/d/1Yj_ptqi66GCucihVvJfMjLAmec39IyEx_6qawtMGysU/edit?usp=sharing"",""สบก!CI20"")"),0)</f>
        <v>0</v>
      </c>
      <c r="M279" s="49"/>
      <c r="N279" s="49">
        <f ca="1">IFERROR(__xludf.DUMMYFUNCTION("IMPORTRANGE(""https://docs.google.com/spreadsheets/d/1Yj_ptqi66GCucihVvJfMjLAmec39IyEx_6qawtMGysU/edit?usp=sharing"",""สบก!CM20"")"),0)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IFERROR(__xludf.DUMMYFUNCTION("IMPORTRANGE(""https://docs.google.com/spreadsheets/d/11923uPwbBZFjjGgGUA6NLw09EwE0CqkOc4q9oUmW1yo/edit?usp=sharing"",""กำแพงเพชร!J191"")"),0)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IFERROR(__xludf.DUMMYFUNCTION("IMPORTRANGE(""https://docs.google.com/spreadsheets/d/11923uPwbBZFjjGgGUA6NLw09EwE0CqkOc4q9oUmW1yo/edit?usp=sharing"",""กำแพงเพชร!J192"")"),1)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IFERROR(__xludf.DUMMYFUNCTION("IMPORTRANGE(""https://docs.google.com/spreadsheets/d/11923uPwbBZFjjGgGUA6NLw09EwE0CqkOc4q9oUmW1yo/edit?usp=sharing"",""กำแพงเพชร!J193"")"),1)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IFERROR(__xludf.DUMMYFUNCTION("IMPORTRANGE(""https://docs.google.com/spreadsheets/d/11923uPwbBZFjjGgGUA6NLw09EwE0CqkOc4q9oUmW1yo/edit?usp=sharing"",""กำแพงเพชร!J194"")"),1)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IFERROR(__xludf.DUMMYFUNCTION("IMPORTRANGE(""https://docs.google.com/spreadsheets/d/11923uPwbBZFjjGgGUA6NLw09EwE0CqkOc4q9oUmW1yo/edit?usp=sharing"",""กำแพงเพชร!I195"")"),15)</f>
        <v>15</v>
      </c>
      <c r="J285" s="188">
        <f ca="1">IFERROR(__xludf.DUMMYFUNCTION("IMPORTRANGE(""https://docs.google.com/spreadsheets/d/11923uPwbBZFjjGgGUA6NLw09EwE0CqkOc4q9oUmW1yo/edit?usp=sharing"",""กำแพงเพชร!J195"")"),15)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IFERROR(__xludf.DUMMYFUNCTION("IMPORTRANGE(""https://docs.google.com/spreadsheets/d/11923uPwbBZFjjGgGUA6NLw09EwE0CqkOc4q9oUmW1yo/edit?usp=sharing"",""กำแพงเพชร!J196"")"),0)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IFERROR(__xludf.DUMMYFUNCTION("IMPORTRANGE(""https://docs.google.com/spreadsheets/d/11923uPwbBZFjjGgGUA6NLw09EwE0CqkOc4q9oUmW1yo/edit?usp=sharing"",""กำแพงเพชร!J197"")"),0)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IFERROR(__xludf.DUMMYFUNCTION("IMPORTRANGE(""https://docs.google.com/spreadsheets/d/11923uPwbBZFjjGgGUA6NLw09EwE0CqkOc4q9oUmW1yo/edit?usp=sharing"",""กำแพงเพชร!I199"")"),0)</f>
        <v>0</v>
      </c>
      <c r="J289" s="314">
        <f ca="1">IFERROR(__xludf.DUMMYFUNCTION("IMPORTRANGE(""https://docs.google.com/spreadsheets/d/11923uPwbBZFjjGgGUA6NLw09EwE0CqkOc4q9oUmW1yo/edit?usp=sharing"",""กำแพงเพชร!J199"")"),0)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IFERROR(__xludf.DUMMYFUNCTION("IMPORTRANGE(""https://docs.google.com/spreadsheets/d/1Yj_ptqi66GCucihVvJfMjLAmec39IyEx_6qawtMGysU/edit?usp=sharing"",""สบก!CT20"")"),0)</f>
        <v>0</v>
      </c>
      <c r="N294" s="168">
        <f ca="1">IFERROR(__xludf.DUMMYFUNCTION("IMPORTRANGE(""https://docs.google.com/spreadsheets/d/1Yj_ptqi66GCucihVvJfMjLAmec39IyEx_6qawtMGysU/edit?usp=sharing"",""สบก!CU20"")"),0)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IFERROR(__xludf.DUMMYFUNCTION("IMPORTRANGE(""https://docs.google.com/spreadsheets/d/1Yj_ptqi66GCucihVvJfMjLAmec39IyEx_6qawtMGysU/edit?usp=sharing"",""สบก!CP20"")"),0)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IFERROR(__xludf.DUMMYFUNCTION("IMPORTRANGE(""https://docs.google.com/spreadsheets/d/1Yj_ptqi66GCucihVvJfMjLAmec39IyEx_6qawtMGysU/edit?usp=sharing"",""สบก!CQ20"")"),0)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IFERROR(__xludf.DUMMYFUNCTION("IMPORTRANGE(""https://docs.google.com/spreadsheets/d/1Yj_ptqi66GCucihVvJfMjLAmec39IyEx_6qawtMGysU/edit?usp=sharing"",""สบก!CR20"")"),0)</f>
        <v>0</v>
      </c>
      <c r="M298" s="49"/>
      <c r="N298" s="49">
        <f ca="1">IFERROR(__xludf.DUMMYFUNCTION("IMPORTRANGE(""https://docs.google.com/spreadsheets/d/1Yj_ptqi66GCucihVvJfMjLAmec39IyEx_6qawtMGysU/edit?usp=sharing"",""สบก!CV20"")"),0)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IFERROR(__xludf.DUMMYFUNCTION("IMPORTRANGE(""https://docs.google.com/spreadsheets/d/11923uPwbBZFjjGgGUA6NLw09EwE0CqkOc4q9oUmW1yo/edit?usp=sharing"",""กำแพงเพชร!J205"")"),0)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IFERROR(__xludf.DUMMYFUNCTION("IMPORTRANGE(""https://docs.google.com/spreadsheets/d/11923uPwbBZFjjGgGUA6NLw09EwE0CqkOc4q9oUmW1yo/edit?usp=sharing"",""กำแพงเพชร!J206"")"),0)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IFERROR(__xludf.DUMMYFUNCTION("IMPORTRANGE(""https://docs.google.com/spreadsheets/d/11923uPwbBZFjjGgGUA6NLw09EwE0CqkOc4q9oUmW1yo/edit?usp=sharing"",""กำแพงเพชร!J207"")"),0)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IFERROR(__xludf.DUMMYFUNCTION("IMPORTRANGE(""https://docs.google.com/spreadsheets/d/11923uPwbBZFjjGgGUA6NLw09EwE0CqkOc4q9oUmW1yo/edit?usp=sharing"",""กำแพงเพชร!J208"")"),0)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IFERROR(__xludf.DUMMYFUNCTION("IMPORTRANGE(""https://docs.google.com/spreadsheets/d/11923uPwbBZFjjGgGUA6NLw09EwE0CqkOc4q9oUmW1yo/edit?usp=sharing"",""กำแพงเพชร!I209"")"),0)</f>
        <v>0</v>
      </c>
      <c r="J304" s="203">
        <f ca="1">IFERROR(__xludf.DUMMYFUNCTION("IMPORTRANGE(""https://docs.google.com/spreadsheets/d/11923uPwbBZFjjGgGUA6NLw09EwE0CqkOc4q9oUmW1yo/edit?usp=sharing"",""กำแพงเพชร!J209"")"),0)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IFERROR(__xludf.DUMMYFUNCTION("IMPORTRANGE(""https://docs.google.com/spreadsheets/d/11923uPwbBZFjjGgGUA6NLw09EwE0CqkOc4q9oUmW1yo/edit?usp=sharing"",""กำแพงเพชร!I211"")"),0)</f>
        <v>0</v>
      </c>
      <c r="J306" s="203">
        <f ca="1">IFERROR(__xludf.DUMMYFUNCTION("IMPORTRANGE(""https://docs.google.com/spreadsheets/d/11923uPwbBZFjjGgGUA6NLw09EwE0CqkOc4q9oUmW1yo/edit?usp=sharing"",""กำแพงเพชร!J211"")"),0)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IFERROR(__xludf.DUMMYFUNCTION("IMPORTRANGE(""https://docs.google.com/spreadsheets/d/11923uPwbBZFjjGgGUA6NLw09EwE0CqkOc4q9oUmW1yo/edit?usp=sharing"",""กำแพงเพชร!J212"")"),0)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IFERROR(__xludf.DUMMYFUNCTION("IMPORTRANGE(""https://docs.google.com/spreadsheets/d/11923uPwbBZFjjGgGUA6NLw09EwE0CqkOc4q9oUmW1yo/edit?usp=sharing"",""กำแพงเพชร!J213"")"),0)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IFERROR(__xludf.DUMMYFUNCTION("IMPORTRANGE(""https://docs.google.com/spreadsheets/d/11923uPwbBZFjjGgGUA6NLw09EwE0CqkOc4q9oUmW1yo/edit?usp=sharing"",""กำแพงเพชร!I214"")"),1)</f>
        <v>1</v>
      </c>
      <c r="J309" s="331">
        <f ca="1">IFERROR(__xludf.DUMMYFUNCTION("IMPORTRANGE(""https://docs.google.com/spreadsheets/d/11923uPwbBZFjjGgGUA6NLw09EwE0CqkOc4q9oUmW1yo/edit?usp=sharing"",""กำแพงเพชร!J214"")"),1)</f>
        <v>1</v>
      </c>
      <c r="K309" s="332">
        <f ca="1">IF(I309&gt;0,J309*100/I309,0)</f>
        <v>100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194600</v>
      </c>
      <c r="M310" s="151">
        <f t="shared" ca="1" si="93"/>
        <v>97300</v>
      </c>
      <c r="N310" s="151">
        <f t="shared" ca="1" si="93"/>
        <v>48664</v>
      </c>
      <c r="O310" s="150">
        <f t="shared" ref="O310:O312" ca="1" si="94">IF(L310&gt;0,N310*100/L310,0)</f>
        <v>25.007194244604317</v>
      </c>
      <c r="P310" s="150">
        <f t="shared" ref="P310:P312" ca="1" si="95">IF(M310&gt;0,N310*100/M310,0)</f>
        <v>50.014388489208635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194600</v>
      </c>
      <c r="M312" s="87">
        <f t="shared" ca="1" si="97"/>
        <v>97300</v>
      </c>
      <c r="N312" s="87">
        <f t="shared" ca="1" si="97"/>
        <v>48664</v>
      </c>
      <c r="O312" s="155">
        <f t="shared" ca="1" si="94"/>
        <v>25.007194244604317</v>
      </c>
      <c r="P312" s="155">
        <f t="shared" ca="1" si="95"/>
        <v>50.014388489208635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194600</v>
      </c>
      <c r="M314" s="167">
        <f ca="1">IFERROR(__xludf.DUMMYFUNCTION("IMPORTRANGE(""https://docs.google.com/spreadsheets/d/1Yj_ptqi66GCucihVvJfMjLAmec39IyEx_6qawtMGysU/edit?usp=sharing"",""สบก!DC20"")"),97300)</f>
        <v>97300</v>
      </c>
      <c r="N314" s="168">
        <f ca="1">IFERROR(__xludf.DUMMYFUNCTION("IMPORTRANGE(""https://docs.google.com/spreadsheets/d/1Yj_ptqi66GCucihVvJfMjLAmec39IyEx_6qawtMGysU/edit?usp=sharing"",""สบก!DD20"")"),48664)</f>
        <v>48664</v>
      </c>
      <c r="O314" s="168">
        <f ca="1">IF(L314&gt;0,N314*100/L314,0)</f>
        <v>25.007194244604317</v>
      </c>
      <c r="P314" s="168">
        <f ca="1">IF(M314&gt;0,N314*100/M314,0)</f>
        <v>50.014388489208635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IFERROR(__xludf.DUMMYFUNCTION("IMPORTRANGE(""https://docs.google.com/spreadsheets/d/1Yj_ptqi66GCucihVvJfMjLAmec39IyEx_6qawtMGysU/edit?usp=sharing"",""สบก!CY20"")"),0)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IFERROR(__xludf.DUMMYFUNCTION("IMPORTRANGE(""https://docs.google.com/spreadsheets/d/1Yj_ptqi66GCucihVvJfMjLAmec39IyEx_6qawtMGysU/edit?usp=sharing"",""สบก!CZ20"")"),194600)</f>
        <v>194600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IFERROR(__xludf.DUMMYFUNCTION("IMPORTRANGE(""https://docs.google.com/spreadsheets/d/1Yj_ptqi66GCucihVvJfMjLAmec39IyEx_6qawtMGysU/edit?usp=sharing"",""สบก!DA20"")"),0)</f>
        <v>0</v>
      </c>
      <c r="M318" s="49"/>
      <c r="N318" s="49">
        <f ca="1">IFERROR(__xludf.DUMMYFUNCTION("IMPORTRANGE(""https://docs.google.com/spreadsheets/d/1Yj_ptqi66GCucihVvJfMjLAmec39IyEx_6qawtMGysU/edit?usp=sharing"",""สบก!DE20"")"),0)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IFERROR(__xludf.DUMMYFUNCTION("IMPORTRANGE(""https://docs.google.com/spreadsheets/d/11923uPwbBZFjjGgGUA6NLw09EwE0CqkOc4q9oUmW1yo/edit?usp=sharing"",""กำแพงเพชร!J220"")"),0)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IFERROR(__xludf.DUMMYFUNCTION("IMPORTRANGE(""https://docs.google.com/spreadsheets/d/11923uPwbBZFjjGgGUA6NLw09EwE0CqkOc4q9oUmW1yo/edit?usp=sharing"",""กำแพงเพชร!J221"")"),1)</f>
        <v>1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IFERROR(__xludf.DUMMYFUNCTION("IMPORTRANGE(""https://docs.google.com/spreadsheets/d/11923uPwbBZFjjGgGUA6NLw09EwE0CqkOc4q9oUmW1yo/edit?usp=sharing"",""กำแพงเพชร!J222"")"),0)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IFERROR(__xludf.DUMMYFUNCTION("IMPORTRANGE(""https://docs.google.com/spreadsheets/d/11923uPwbBZFjjGgGUA6NLw09EwE0CqkOc4q9oUmW1yo/edit?usp=sharing"",""กำแพงเพชร!J223"")"),1)</f>
        <v>1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IFERROR(__xludf.DUMMYFUNCTION("IMPORTRANGE(""https://docs.google.com/spreadsheets/d/11923uPwbBZFjjGgGUA6NLw09EwE0CqkOc4q9oUmW1yo/edit?usp=sharing"",""กำแพงเพชร!I224"")"),1)</f>
        <v>1</v>
      </c>
      <c r="J324" s="203">
        <f ca="1">IFERROR(__xludf.DUMMYFUNCTION("IMPORTRANGE(""https://docs.google.com/spreadsheets/d/11923uPwbBZFjjGgGUA6NLw09EwE0CqkOc4q9oUmW1yo/edit?usp=sharing"",""กำแพงเพชร!J224"")"),1)</f>
        <v>1</v>
      </c>
      <c r="K324" s="223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IFERROR(__xludf.DUMMYFUNCTION("IMPORTRANGE(""https://docs.google.com/spreadsheets/d/11923uPwbBZFjjGgGUA6NLw09EwE0CqkOc4q9oUmW1yo/edit?usp=sharing"",""กำแพงเพชร!J225"")"),0)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IFERROR(__xludf.DUMMYFUNCTION("IMPORTRANGE(""https://docs.google.com/spreadsheets/d/11923uPwbBZFjjGgGUA6NLw09EwE0CqkOc4q9oUmW1yo/edit?usp=sharing"",""กำแพงเพชร!J226"")"),0)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IFERROR(__xludf.DUMMYFUNCTION("IMPORTRANGE(""https://docs.google.com/spreadsheets/d/11923uPwbBZFjjGgGUA6NLw09EwE0CqkOc4q9oUmW1yo/edit?usp=sharing"",""กำแพงเพชร!I228"")"),943)</f>
        <v>943</v>
      </c>
      <c r="J328" s="337">
        <f ca="1">IFERROR(__xludf.DUMMYFUNCTION("IMPORTRANGE(""https://docs.google.com/spreadsheets/d/11923uPwbBZFjjGgGUA6NLw09EwE0CqkOc4q9oUmW1yo/edit?usp=sharing"",""กำแพงเพชร!J228"")"),21)</f>
        <v>21</v>
      </c>
      <c r="K328" s="315">
        <f ca="1">IF(I328&gt;0,J328*100/I328,0)</f>
        <v>2.2269353128313893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1961030</v>
      </c>
      <c r="M329" s="151">
        <f t="shared" ca="1" si="98"/>
        <v>1117030</v>
      </c>
      <c r="N329" s="151">
        <f t="shared" ca="1" si="98"/>
        <v>752579</v>
      </c>
      <c r="O329" s="150">
        <f t="shared" ref="O329:O331" ca="1" si="99">IF(L329&gt;0,N329*100/L329,0)</f>
        <v>38.376720396934267</v>
      </c>
      <c r="P329" s="150">
        <f t="shared" ref="P329:P331" ca="1" si="100">IF(M329&gt;0,N329*100/M329,0)</f>
        <v>67.373212894908818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1961030</v>
      </c>
      <c r="M331" s="87">
        <f t="shared" ca="1" si="102"/>
        <v>1117030</v>
      </c>
      <c r="N331" s="87">
        <f t="shared" ca="1" si="102"/>
        <v>752579</v>
      </c>
      <c r="O331" s="155">
        <f t="shared" ca="1" si="99"/>
        <v>38.376720396934267</v>
      </c>
      <c r="P331" s="155">
        <f t="shared" ca="1" si="100"/>
        <v>67.373212894908818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1961030</v>
      </c>
      <c r="M333" s="167">
        <f ca="1">IFERROR(__xludf.DUMMYFUNCTION("IMPORTRANGE(""https://docs.google.com/spreadsheets/d/1Yj_ptqi66GCucihVvJfMjLAmec39IyEx_6qawtMGysU/edit?usp=sharing"",""สบก!DL20"")"),1117030)</f>
        <v>1117030</v>
      </c>
      <c r="N333" s="168">
        <f ca="1">IFERROR(__xludf.DUMMYFUNCTION("IMPORTRANGE(""https://docs.google.com/spreadsheets/d/1Yj_ptqi66GCucihVvJfMjLAmec39IyEx_6qawtMGysU/edit?usp=sharing"",""สบก!DM20"")"),752579)</f>
        <v>752579</v>
      </c>
      <c r="O333" s="168">
        <f ca="1">IF(L333&gt;0,N333*100/L333,0)</f>
        <v>38.376720396934267</v>
      </c>
      <c r="P333" s="168">
        <f ca="1">IF(M333&gt;0,N333*100/M333,0)</f>
        <v>67.373212894908818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IFERROR(__xludf.DUMMYFUNCTION("IMPORTRANGE(""https://docs.google.com/spreadsheets/d/1Yj_ptqi66GCucihVvJfMjLAmec39IyEx_6qawtMGysU/edit?usp=sharing"",""สบก!DH20"")"),607100)</f>
        <v>607100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IFERROR(__xludf.DUMMYFUNCTION("IMPORTRANGE(""https://docs.google.com/spreadsheets/d/1Yj_ptqi66GCucihVvJfMjLAmec39IyEx_6qawtMGysU/edit?usp=sharing"",""สบก!DI20"")"),1353930)</f>
        <v>1353930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IFERROR(__xludf.DUMMYFUNCTION("IMPORTRANGE(""https://docs.google.com/spreadsheets/d/1Yj_ptqi66GCucihVvJfMjLAmec39IyEx_6qawtMGysU/edit?usp=sharing"",""สบก!DJ20"")"),0)</f>
        <v>0</v>
      </c>
      <c r="M337" s="49"/>
      <c r="N337" s="49">
        <f ca="1">IFERROR(__xludf.DUMMYFUNCTION("IMPORTRANGE(""https://docs.google.com/spreadsheets/d/1Yj_ptqi66GCucihVvJfMjLAmec39IyEx_6qawtMGysU/edit?usp=sharing"",""สบก!DN20"")"),0)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IFERROR(__xludf.DUMMYFUNCTION("IMPORTRANGE(""https://docs.google.com/spreadsheets/d/11923uPwbBZFjjGgGUA6NLw09EwE0CqkOc4q9oUmW1yo/edit?usp=sharing"",""กำแพงเพชร!I234"")"),0)</f>
        <v>0</v>
      </c>
      <c r="J339" s="187">
        <f ca="1">IFERROR(__xludf.DUMMYFUNCTION("IMPORTRANGE(""https://docs.google.com/spreadsheets/d/11923uPwbBZFjjGgGUA6NLw09EwE0CqkOc4q9oUmW1yo/edit?usp=sharing"",""กำแพงเพชร!J234"")"),152)</f>
        <v>152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IFERROR(__xludf.DUMMYFUNCTION("IMPORTRANGE(""https://docs.google.com/spreadsheets/d/11923uPwbBZFjjGgGUA6NLw09EwE0CqkOc4q9oUmW1yo/edit?usp=sharing"",""กำแพงเพชร!I235"")"),8400)</f>
        <v>8400</v>
      </c>
      <c r="J340" s="187">
        <f ca="1">IFERROR(__xludf.DUMMYFUNCTION("IMPORTRANGE(""https://docs.google.com/spreadsheets/d/11923uPwbBZFjjGgGUA6NLw09EwE0CqkOc4q9oUmW1yo/edit?usp=sharing"",""กำแพงเพชร!J235"")"),1449.24)</f>
        <v>1449.24</v>
      </c>
      <c r="K340" s="340">
        <f t="shared" ca="1" si="103"/>
        <v>17.252857142857142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IFERROR(__xludf.DUMMYFUNCTION("IMPORTRANGE(""https://docs.google.com/spreadsheets/d/11923uPwbBZFjjGgGUA6NLw09EwE0CqkOc4q9oUmW1yo/edit?usp=sharing"",""กำแพงเพชร!I236"")"),943)</f>
        <v>943</v>
      </c>
      <c r="J341" s="187">
        <f ca="1">IFERROR(__xludf.DUMMYFUNCTION("IMPORTRANGE(""https://docs.google.com/spreadsheets/d/11923uPwbBZFjjGgGUA6NLw09EwE0CqkOc4q9oUmW1yo/edit?usp=sharing"",""กำแพงเพชร!J236"")"),113)</f>
        <v>113</v>
      </c>
      <c r="K341" s="340">
        <f t="shared" ca="1" si="103"/>
        <v>11.983032873807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IFERROR(__xludf.DUMMYFUNCTION("IMPORTRANGE(""https://docs.google.com/spreadsheets/d/11923uPwbBZFjjGgGUA6NLw09EwE0CqkOc4q9oUmW1yo/edit?usp=sharing"",""กำแพงเพชร!I237"")"),0)</f>
        <v>0</v>
      </c>
      <c r="J342" s="187">
        <f ca="1">IFERROR(__xludf.DUMMYFUNCTION("IMPORTRANGE(""https://docs.google.com/spreadsheets/d/11923uPwbBZFjjGgGUA6NLw09EwE0CqkOc4q9oUmW1yo/edit?usp=sharing"",""กำแพงเพชร!J237"")"),1744.74)</f>
        <v>1744.74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IFERROR(__xludf.DUMMYFUNCTION("IMPORTRANGE(""https://docs.google.com/spreadsheets/d/11923uPwbBZFjjGgGUA6NLw09EwE0CqkOc4q9oUmW1yo/edit?usp=sharing"",""กำแพงเพชร!I238"")"),943)</f>
        <v>943</v>
      </c>
      <c r="J343" s="187">
        <f ca="1">IFERROR(__xludf.DUMMYFUNCTION("IMPORTRANGE(""https://docs.google.com/spreadsheets/d/11923uPwbBZFjjGgGUA6NLw09EwE0CqkOc4q9oUmW1yo/edit?usp=sharing"",""กำแพงเพชร!J238"")"),0)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IFERROR(__xludf.DUMMYFUNCTION("IMPORTRANGE(""https://docs.google.com/spreadsheets/d/11923uPwbBZFjjGgGUA6NLw09EwE0CqkOc4q9oUmW1yo/edit?usp=sharing"",""กำแพงเพชร!I239"")"),0)</f>
        <v>0</v>
      </c>
      <c r="J344" s="187">
        <f ca="1">IFERROR(__xludf.DUMMYFUNCTION("IMPORTRANGE(""https://docs.google.com/spreadsheets/d/11923uPwbBZFjjGgGUA6NLw09EwE0CqkOc4q9oUmW1yo/edit?usp=sharing"",""กำแพงเพชร!J239"")"),0)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IFERROR(__xludf.DUMMYFUNCTION("IMPORTRANGE(""https://docs.google.com/spreadsheets/d/11923uPwbBZFjjGgGUA6NLw09EwE0CqkOc4q9oUmW1yo/edit?usp=sharing"",""กำแพงเพชร!I240"")"),943)</f>
        <v>943</v>
      </c>
      <c r="J345" s="187">
        <f ca="1">IFERROR(__xludf.DUMMYFUNCTION("IMPORTRANGE(""https://docs.google.com/spreadsheets/d/11923uPwbBZFjjGgGUA6NLw09EwE0CqkOc4q9oUmW1yo/edit?usp=sharing"",""กำแพงเพชร!J240"")"),21)</f>
        <v>21</v>
      </c>
      <c r="K345" s="340">
        <f t="shared" ca="1" si="103"/>
        <v>2.2269353128313893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IFERROR(__xludf.DUMMYFUNCTION("IMPORTRANGE(""https://docs.google.com/spreadsheets/d/11923uPwbBZFjjGgGUA6NLw09EwE0CqkOc4q9oUmW1yo/edit?usp=sharing"",""กำแพงเพชร!I241"")"),0)</f>
        <v>0</v>
      </c>
      <c r="J346" s="187">
        <f ca="1">IFERROR(__xludf.DUMMYFUNCTION("IMPORTRANGE(""https://docs.google.com/spreadsheets/d/11923uPwbBZFjjGgGUA6NLw09EwE0CqkOc4q9oUmW1yo/edit?usp=sharing"",""กำแพงเพชร!J241"")"),373.63)</f>
        <v>373.63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IFERROR(__xludf.DUMMYFUNCTION("IMPORTRANGE(""https://docs.google.com/spreadsheets/d/11923uPwbBZFjjGgGUA6NLw09EwE0CqkOc4q9oUmW1yo/edit?usp=sharing"",""กำแพงเพชร!L242"")"),3336736)</f>
        <v>3336736</v>
      </c>
      <c r="M347" s="356"/>
      <c r="N347" s="356">
        <f ca="1">IFERROR(__xludf.DUMMYFUNCTION("IMPORTRANGE(""https://docs.google.com/spreadsheets/d/11923uPwbBZFjjGgGUA6NLw09EwE0CqkOc4q9oUmW1yo/edit?usp=sharing"",""กำแพงเพชร!M242"")"),407655.67)</f>
        <v>407655.67</v>
      </c>
      <c r="O347" s="356">
        <f ca="1">+IF(L347&gt;0,N347*100/L347,0)</f>
        <v>12.217198783481821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IFERROR(__xludf.DUMMYFUNCTION("IMPORTRANGE(""https://docs.google.com/spreadsheets/d/11923uPwbBZFjjGgGUA6NLw09EwE0CqkOc4q9oUmW1yo/edit?usp=sharing"",""กำแพงเพชร!I244"")"),0)</f>
        <v>0</v>
      </c>
      <c r="J349" s="369">
        <f ca="1">IFERROR(__xludf.DUMMYFUNCTION("IMPORTRANGE(""https://docs.google.com/spreadsheets/d/11923uPwbBZFjjGgGUA6NLw09EwE0CqkOc4q9oUmW1yo/edit?usp=sharing"",""กำแพงเพชร!J244"")"),0)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IFERROR(__xludf.DUMMYFUNCTION("IMPORTRANGE(""https://docs.google.com/spreadsheets/d/11923uPwbBZFjjGgGUA6NLw09EwE0CqkOc4q9oUmW1yo/edit?usp=sharing"",""กำแพงเพชร!L244"")"),0)</f>
        <v>0</v>
      </c>
      <c r="M349" s="371"/>
      <c r="N349" s="371">
        <f ca="1">IFERROR(__xludf.DUMMYFUNCTION("IMPORTRANGE(""https://docs.google.com/spreadsheets/d/11923uPwbBZFjjGgGUA6NLw09EwE0CqkOc4q9oUmW1yo/edit?usp=sharing"",""กำแพงเพชร!M244"")"),0)</f>
        <v>0</v>
      </c>
      <c r="O349" s="371">
        <f ca="1">+IF(L349&gt;0,N349*100/L349,0)</f>
        <v>0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IFERROR(__xludf.DUMMYFUNCTION("IMPORTRANGE(""https://docs.google.com/spreadsheets/d/11923uPwbBZFjjGgGUA6NLw09EwE0CqkOc4q9oUmW1yo/edit?usp=sharing"",""กำแพงเพชร!I245"")"),0)</f>
        <v>0</v>
      </c>
      <c r="J350" s="369">
        <f ca="1">IFERROR(__xludf.DUMMYFUNCTION("IMPORTRANGE(""https://docs.google.com/spreadsheets/d/11923uPwbBZFjjGgGUA6NLw09EwE0CqkOc4q9oUmW1yo/edit?usp=sharing"",""กำแพงเพชร!J245"")"),0)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IFERROR(__xludf.DUMMYFUNCTION("IMPORTRANGE(""https://docs.google.com/spreadsheets/d/11923uPwbBZFjjGgGUA6NLw09EwE0CqkOc4q9oUmW1yo/edit?usp=sharing"",""กำแพงเพชร!L246"")"),0)</f>
        <v>0</v>
      </c>
      <c r="M351" s="164"/>
      <c r="N351" s="164">
        <f ca="1">IFERROR(__xludf.DUMMYFUNCTION("IMPORTRANGE(""https://docs.google.com/spreadsheets/d/11923uPwbBZFjjGgGUA6NLw09EwE0CqkOc4q9oUmW1yo/edit?usp=sharing"",""กำแพงเพชร!M246"")"),0)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IFERROR(__xludf.DUMMYFUNCTION("IMPORTRANGE(""https://docs.google.com/spreadsheets/d/11923uPwbBZFjjGgGUA6NLw09EwE0CqkOc4q9oUmW1yo/edit?usp=sharing"",""กำแพงเพชร!L247"")"),0)</f>
        <v>0</v>
      </c>
      <c r="M352" s="165"/>
      <c r="N352" s="164">
        <f ca="1">IFERROR(__xludf.DUMMYFUNCTION("IMPORTRANGE(""https://docs.google.com/spreadsheets/d/11923uPwbBZFjjGgGUA6NLw09EwE0CqkOc4q9oUmW1yo/edit?usp=sharing"",""กำแพงเพชร!M247"")"),0)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IFERROR(__xludf.DUMMYFUNCTION("IMPORTRANGE(""https://docs.google.com/spreadsheets/d/11923uPwbBZFjjGgGUA6NLw09EwE0CqkOc4q9oUmW1yo/edit?usp=sharing"",""กำแพงเพชร!L248"")"),0)</f>
        <v>0</v>
      </c>
      <c r="M353" s="168"/>
      <c r="N353" s="168">
        <f ca="1">IFERROR(__xludf.DUMMYFUNCTION("IMPORTRANGE(""https://docs.google.com/spreadsheets/d/11923uPwbBZFjjGgGUA6NLw09EwE0CqkOc4q9oUmW1yo/edit?usp=sharing"",""กำแพงเพชร!M248"")"),0)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IFERROR(__xludf.DUMMYFUNCTION("IMPORTRANGE(""https://docs.google.com/spreadsheets/d/11923uPwbBZFjjGgGUA6NLw09EwE0CqkOc4q9oUmW1yo/edit?usp=sharing"",""กำแพงเพชร!L249"")"),0)</f>
        <v>0</v>
      </c>
      <c r="M354" s="168"/>
      <c r="N354" s="167">
        <f ca="1">IFERROR(__xludf.DUMMYFUNCTION("IMPORTRANGE(""https://docs.google.com/spreadsheets/d/11923uPwbBZFjjGgGUA6NLw09EwE0CqkOc4q9oUmW1yo/edit?usp=sharing"",""กำแพงเพชร!M249"")"),0)</f>
        <v>0</v>
      </c>
      <c r="O354" s="168">
        <f t="shared" ca="1" si="105"/>
        <v>0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IFERROR(__xludf.DUMMYFUNCTION("IMPORTRANGE(""https://docs.google.com/spreadsheets/d/11923uPwbBZFjjGgGUA6NLw09EwE0CqkOc4q9oUmW1yo/edit?usp=sharing"",""กำแพงเพชร!M250"")"),0)</f>
        <v>0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IFERROR(__xludf.DUMMYFUNCTION("IMPORTRANGE(""https://docs.google.com/spreadsheets/d/11923uPwbBZFjjGgGUA6NLw09EwE0CqkOc4q9oUmW1yo/edit?usp=sharing"",""กำแพงเพชร!M251"")"),0)</f>
        <v>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IFERROR(__xludf.DUMMYFUNCTION("IMPORTRANGE(""https://docs.google.com/spreadsheets/d/11923uPwbBZFjjGgGUA6NLw09EwE0CqkOc4q9oUmW1yo/edit?usp=sharing"",""กำแพงเพชร!M252"")"),0)</f>
        <v>0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IFERROR(__xludf.DUMMYFUNCTION("IMPORTRANGE(""https://docs.google.com/spreadsheets/d/11923uPwbBZFjjGgGUA6NLw09EwE0CqkOc4q9oUmW1yo/edit?usp=sharing"",""กำแพงเพชร!M253"")"),0)</f>
        <v>0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IFERROR(__xludf.DUMMYFUNCTION("IMPORTRANGE(""https://docs.google.com/spreadsheets/d/11923uPwbBZFjjGgGUA6NLw09EwE0CqkOc4q9oUmW1yo/edit?usp=sharing"",""กำแพงเพชร!J255"")"),0)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IFERROR(__xludf.DUMMYFUNCTION("IMPORTRANGE(""https://docs.google.com/spreadsheets/d/11923uPwbBZFjjGgGUA6NLw09EwE0CqkOc4q9oUmW1yo/edit?usp=sharing"",""กำแพงเพชร!J256"")"),0)</f>
        <v>0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IFERROR(__xludf.DUMMYFUNCTION("IMPORTRANGE(""https://docs.google.com/spreadsheets/d/11923uPwbBZFjjGgGUA6NLw09EwE0CqkOc4q9oUmW1yo/edit?usp=sharing"",""กำแพงเพชร!J257"")"),0)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IFERROR(__xludf.DUMMYFUNCTION("IMPORTRANGE(""https://docs.google.com/spreadsheets/d/11923uPwbBZFjjGgGUA6NLw09EwE0CqkOc4q9oUmW1yo/edit?usp=sharing"",""กำแพงเพชร!J258"")"),0)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IFERROR(__xludf.DUMMYFUNCTION("IMPORTRANGE(""https://docs.google.com/spreadsheets/d/11923uPwbBZFjjGgGUA6NLw09EwE0CqkOc4q9oUmW1yo/edit?usp=sharing"",""กำแพงเพชร!J166"")"),0)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IFERROR(__xludf.DUMMYFUNCTION("IMPORTRANGE(""https://docs.google.com/spreadsheets/d/11923uPwbBZFjjGgGUA6NLw09EwE0CqkOc4q9oUmW1yo/edit?usp=sharing"",""กำแพงเพชร!J166"")"),0)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IFERROR(__xludf.DUMMYFUNCTION("IMPORTRANGE(""https://docs.google.com/spreadsheets/d/11923uPwbBZFjjGgGUA6NLw09EwE0CqkOc4q9oUmW1yo/edit?usp=sharing"",""กำแพงเพชร!J166"")"),0)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IFERROR(__xludf.DUMMYFUNCTION("IMPORTRANGE(""https://docs.google.com/spreadsheets/d/11923uPwbBZFjjGgGUA6NLw09EwE0CqkOc4q9oUmW1yo/edit?usp=sharing"",""กำแพงเพชร!J166"")"),0)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IFERROR(__xludf.DUMMYFUNCTION("IMPORTRANGE(""https://docs.google.com/spreadsheets/d/11923uPwbBZFjjGgGUA6NLw09EwE0CqkOc4q9oUmW1yo/edit?usp=sharing"",""กำแพงเพชร!I263"")"),0)</f>
        <v>0</v>
      </c>
      <c r="J368" s="187">
        <f ca="1">IFERROR(__xludf.DUMMYFUNCTION("IMPORTRANGE(""https://docs.google.com/spreadsheets/d/11923uPwbBZFjjGgGUA6NLw09EwE0CqkOc4q9oUmW1yo/edit?usp=sharing"",""กำแพงเพชร!J263"")"),0)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IFERROR(__xludf.DUMMYFUNCTION("IMPORTRANGE(""https://docs.google.com/spreadsheets/d/11923uPwbBZFjjGgGUA6NLw09EwE0CqkOc4q9oUmW1yo/edit?usp=sharing"",""กำแพงเพชร!I164"")"),0)</f>
        <v>0</v>
      </c>
      <c r="J369" s="203">
        <f ca="1">IFERROR(__xludf.DUMMYFUNCTION("IMPORTRANGE(""https://docs.google.com/spreadsheets/d/11923uPwbBZFjjGgGUA6NLw09EwE0CqkOc4q9oUmW1yo/edit?usp=sharing"",""กำแพงเพชร!J164"")"),0)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IFERROR(__xludf.DUMMYFUNCTION("IMPORTRANGE(""https://docs.google.com/spreadsheets/d/11923uPwbBZFjjGgGUA6NLw09EwE0CqkOc4q9oUmW1yo/edit?usp=sharing"",""กำแพงเพชร!I265"")"),0)</f>
        <v>0</v>
      </c>
      <c r="J370" s="203">
        <f ca="1">IFERROR(__xludf.DUMMYFUNCTION("IMPORTRANGE(""https://docs.google.com/spreadsheets/d/11923uPwbBZFjjGgGUA6NLw09EwE0CqkOc4q9oUmW1yo/edit?usp=sharing"",""กำแพงเพชร!J265"")"),0)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IFERROR(__xludf.DUMMYFUNCTION("IMPORTRANGE(""https://docs.google.com/spreadsheets/d/11923uPwbBZFjjGgGUA6NLw09EwE0CqkOc4q9oUmW1yo/edit?usp=sharing"",""กำแพงเพชร!I164"")"),0)</f>
        <v>0</v>
      </c>
      <c r="J371" s="188">
        <f ca="1">IFERROR(__xludf.DUMMYFUNCTION("IMPORTRANGE(""https://docs.google.com/spreadsheets/d/11923uPwbBZFjjGgGUA6NLw09EwE0CqkOc4q9oUmW1yo/edit?usp=sharing"",""กำแพงเพชร!J164"")"),0)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IFERROR(__xludf.DUMMYFUNCTION("IMPORTRANGE(""https://docs.google.com/spreadsheets/d/11923uPwbBZFjjGgGUA6NLw09EwE0CqkOc4q9oUmW1yo/edit?usp=sharing"",""กำแพงเพชร!I267"")"),0)</f>
        <v>0</v>
      </c>
      <c r="J372" s="188">
        <f ca="1">IFERROR(__xludf.DUMMYFUNCTION("IMPORTRANGE(""https://docs.google.com/spreadsheets/d/11923uPwbBZFjjGgGUA6NLw09EwE0CqkOc4q9oUmW1yo/edit?usp=sharing"",""กำแพงเพชร!J267"")"),0)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IFERROR(__xludf.DUMMYFUNCTION("IMPORTRANGE(""https://docs.google.com/spreadsheets/d/11923uPwbBZFjjGgGUA6NLw09EwE0CqkOc4q9oUmW1yo/edit?usp=sharing"",""กำแพงเพชร!I164"")"),0)</f>
        <v>0</v>
      </c>
      <c r="J373" s="203">
        <f ca="1">IFERROR(__xludf.DUMMYFUNCTION("IMPORTRANGE(""https://docs.google.com/spreadsheets/d/11923uPwbBZFjjGgGUA6NLw09EwE0CqkOc4q9oUmW1yo/edit?usp=sharing"",""กำแพงเพชร!J164"")"),0)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IFERROR(__xludf.DUMMYFUNCTION("IMPORTRANGE(""https://docs.google.com/spreadsheets/d/11923uPwbBZFjjGgGUA6NLw09EwE0CqkOc4q9oUmW1yo/edit?usp=sharing"",""กำแพงเพชร!I164"")"),0)</f>
        <v>0</v>
      </c>
      <c r="J374" s="187">
        <f ca="1">IFERROR(__xludf.DUMMYFUNCTION("IMPORTRANGE(""https://docs.google.com/spreadsheets/d/11923uPwbBZFjjGgGUA6NLw09EwE0CqkOc4q9oUmW1yo/edit?usp=sharing"",""กำแพงเพชร!J164"")"),0)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IFERROR(__xludf.DUMMYFUNCTION("IMPORTRANGE(""https://docs.google.com/spreadsheets/d/11923uPwbBZFjjGgGUA6NLw09EwE0CqkOc4q9oUmW1yo/edit?usp=sharing"",""กำแพงเพชร!I270"")"),0)</f>
        <v>0</v>
      </c>
      <c r="J375" s="187">
        <f ca="1">IFERROR(__xludf.DUMMYFUNCTION("IMPORTRANGE(""https://docs.google.com/spreadsheets/d/11923uPwbBZFjjGgGUA6NLw09EwE0CqkOc4q9oUmW1yo/edit?usp=sharing"",""กำแพงเพชร!J270"")"),0)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IFERROR(__xludf.DUMMYFUNCTION("IMPORTRANGE(""https://docs.google.com/spreadsheets/d/11923uPwbBZFjjGgGUA6NLw09EwE0CqkOc4q9oUmW1yo/edit?usp=sharing"",""กำแพงเพชร!I271"")"),0)</f>
        <v>0</v>
      </c>
      <c r="J376" s="188">
        <f ca="1">IFERROR(__xludf.DUMMYFUNCTION("IMPORTRANGE(""https://docs.google.com/spreadsheets/d/11923uPwbBZFjjGgGUA6NLw09EwE0CqkOc4q9oUmW1yo/edit?usp=sharing"",""กำแพงเพชร!J271"")"),0)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IFERROR(__xludf.DUMMYFUNCTION("IMPORTRANGE(""https://docs.google.com/spreadsheets/d/11923uPwbBZFjjGgGUA6NLw09EwE0CqkOc4q9oUmW1yo/edit?usp=sharing"",""กำแพงเพชร!I272"")"),0)</f>
        <v>0</v>
      </c>
      <c r="J377" s="203">
        <f ca="1">IFERROR(__xludf.DUMMYFUNCTION("IMPORTRANGE(""https://docs.google.com/spreadsheets/d/11923uPwbBZFjjGgGUA6NLw09EwE0CqkOc4q9oUmW1yo/edit?usp=sharing"",""กำแพงเพชร!J272"")"),0)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IFERROR(__xludf.DUMMYFUNCTION("IMPORTRANGE(""https://docs.google.com/spreadsheets/d/11923uPwbBZFjjGgGUA6NLw09EwE0CqkOc4q9oUmW1yo/edit?usp=sharing"",""กำแพงเพชร!J273"")"),0)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IFERROR(__xludf.DUMMYFUNCTION("IMPORTRANGE(""https://docs.google.com/spreadsheets/d/11923uPwbBZFjjGgGUA6NLw09EwE0CqkOc4q9oUmW1yo/edit?usp=sharing"",""กำแพงเพชร!J274"")"),0)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IFERROR(__xludf.DUMMYFUNCTION("IMPORTRANGE(""https://docs.google.com/spreadsheets/d/11923uPwbBZFjjGgGUA6NLw09EwE0CqkOc4q9oUmW1yo/edit?usp=sharing"",""กำแพงเพชร!I275"")"),1000)</f>
        <v>1000</v>
      </c>
      <c r="J380" s="369">
        <f ca="1">IFERROR(__xludf.DUMMYFUNCTION("IMPORTRANGE(""https://docs.google.com/spreadsheets/d/11923uPwbBZFjjGgGUA6NLw09EwE0CqkOc4q9oUmW1yo/edit?usp=sharing"",""กำแพงเพชร!J275"")"),0)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IFERROR(__xludf.DUMMYFUNCTION("IMPORTRANGE(""https://docs.google.com/spreadsheets/d/11923uPwbBZFjjGgGUA6NLw09EwE0CqkOc4q9oUmW1yo/edit?usp=sharing"",""กำแพงเพชร!L275"")"),1028520)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IFERROR(__xludf.DUMMYFUNCTION("IMPORTRANGE(""https://docs.google.com/spreadsheets/d/11923uPwbBZFjjGgGUA6NLw09EwE0CqkOc4q9oUmW1yo/edit?usp=sharing"",""กำแพงเพชร!M275"")"),140232)</f>
        <v>140232</v>
      </c>
      <c r="O380" s="371">
        <f ca="1">+IF(L380&gt;0,N380*100/L380,0)</f>
        <v>13.634348384085872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IFERROR(__xludf.DUMMYFUNCTION("IMPORTRANGE(""https://docs.google.com/spreadsheets/d/11923uPwbBZFjjGgGUA6NLw09EwE0CqkOc4q9oUmW1yo/edit?usp=sharing"",""กำแพงเพชร!I276"")"),100)</f>
        <v>100</v>
      </c>
      <c r="J381" s="369">
        <f ca="1">IFERROR(__xludf.DUMMYFUNCTION("IMPORTRANGE(""https://docs.google.com/spreadsheets/d/11923uPwbBZFjjGgGUA6NLw09EwE0CqkOc4q9oUmW1yo/edit?usp=sharing"",""กำแพงเพชร!J276"")"),100)</f>
        <v>100</v>
      </c>
      <c r="K381" s="370">
        <f t="shared" ca="1" si="108"/>
        <v>100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IFERROR(__xludf.DUMMYFUNCTION("IMPORTRANGE(""https://docs.google.com/spreadsheets/d/11923uPwbBZFjjGgGUA6NLw09EwE0CqkOc4q9oUmW1yo/edit?usp=sharing"",""กำแพงเพชร!L277"")"),0)</f>
        <v>0</v>
      </c>
      <c r="M382" s="164"/>
      <c r="N382" s="164">
        <f ca="1">IFERROR(__xludf.DUMMYFUNCTION("IMPORTRANGE(""https://docs.google.com/spreadsheets/d/11923uPwbBZFjjGgGUA6NLw09EwE0CqkOc4q9oUmW1yo/edit?usp=sharing"",""กำแพงเพชร!M277"")"),0)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IFERROR(__xludf.DUMMYFUNCTION("IMPORTRANGE(""https://docs.google.com/spreadsheets/d/11923uPwbBZFjjGgGUA6NLw09EwE0CqkOc4q9oUmW1yo/edit?usp=sharing"",""กำแพงเพชร!L278"")"),1028520)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IFERROR(__xludf.DUMMYFUNCTION("IMPORTRANGE(""https://docs.google.com/spreadsheets/d/11923uPwbBZFjjGgGUA6NLw09EwE0CqkOc4q9oUmW1yo/edit?usp=sharing"",""กำแพงเพชร!M278"")"),140232)</f>
        <v>140232</v>
      </c>
      <c r="O383" s="165">
        <f t="shared" ca="1" si="109"/>
        <v>13.634348384085872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IFERROR(__xludf.DUMMYFUNCTION("IMPORTRANGE(""https://docs.google.com/spreadsheets/d/11923uPwbBZFjjGgGUA6NLw09EwE0CqkOc4q9oUmW1yo/edit?usp=sharing"",""กำแพงเพชร!L279"")"),0)</f>
        <v>0</v>
      </c>
      <c r="M384" s="168"/>
      <c r="N384" s="168">
        <f ca="1">IFERROR(__xludf.DUMMYFUNCTION("IMPORTRANGE(""https://docs.google.com/spreadsheets/d/11923uPwbBZFjjGgGUA6NLw09EwE0CqkOc4q9oUmW1yo/edit?usp=sharing"",""กำแพงเพชร!M279"")"),0)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IFERROR(__xludf.DUMMYFUNCTION("IMPORTRANGE(""https://docs.google.com/spreadsheets/d/11923uPwbBZFjjGgGUA6NLw09EwE0CqkOc4q9oUmW1yo/edit?usp=sharing"",""กำแพงเพชร!L280"")"),1028520)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IFERROR(__xludf.DUMMYFUNCTION("IMPORTRANGE(""https://docs.google.com/spreadsheets/d/11923uPwbBZFjjGgGUA6NLw09EwE0CqkOc4q9oUmW1yo/edit?usp=sharing"",""กำแพงเพชร!M280"")"),140232)</f>
        <v>140232</v>
      </c>
      <c r="O385" s="168">
        <f t="shared" ca="1" si="109"/>
        <v>13.634348384085872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IFERROR(__xludf.DUMMYFUNCTION("IMPORTRANGE(""https://docs.google.com/spreadsheets/d/11923uPwbBZFjjGgGUA6NLw09EwE0CqkOc4q9oUmW1yo/edit?usp=sharing"",""กำแพงเพชร!M281"")"),105932)</f>
        <v>105932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IFERROR(__xludf.DUMMYFUNCTION("IMPORTRANGE(""https://docs.google.com/spreadsheets/d/11923uPwbBZFjjGgGUA6NLw09EwE0CqkOc4q9oUmW1yo/edit?usp=sharing"",""กำแพงเพชร!M282"")"),0)</f>
        <v>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IFERROR(__xludf.DUMMYFUNCTION("IMPORTRANGE(""https://docs.google.com/spreadsheets/d/11923uPwbBZFjjGgGUA6NLw09EwE0CqkOc4q9oUmW1yo/edit?usp=sharing"",""กำแพงเพชร!M283"")"),33000)</f>
        <v>33000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IFERROR(__xludf.DUMMYFUNCTION("IMPORTRANGE(""https://docs.google.com/spreadsheets/d/11923uPwbBZFjjGgGUA6NLw09EwE0CqkOc4q9oUmW1yo/edit?usp=sharing"",""กำแพงเพชร!M284"")"),1300)</f>
        <v>1300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IFERROR(__xludf.DUMMYFUNCTION("IMPORTRANGE(""https://docs.google.com/spreadsheets/d/11923uPwbBZFjjGgGUA6NLw09EwE0CqkOc4q9oUmW1yo/edit?usp=sharing"",""กำแพงเพชร!J286"")"),0)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IFERROR(__xludf.DUMMYFUNCTION("IMPORTRANGE(""https://docs.google.com/spreadsheets/d/11923uPwbBZFjjGgGUA6NLw09EwE0CqkOc4q9oUmW1yo/edit?usp=sharing"",""กำแพงเพชร!J287"")"),1)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IFERROR(__xludf.DUMMYFUNCTION("IMPORTRANGE(""https://docs.google.com/spreadsheets/d/11923uPwbBZFjjGgGUA6NLw09EwE0CqkOc4q9oUmW1yo/edit?usp=sharing"",""กำแพงเพชร!J288"")"),1)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IFERROR(__xludf.DUMMYFUNCTION("IMPORTRANGE(""https://docs.google.com/spreadsheets/d/11923uPwbBZFjjGgGUA6NLw09EwE0CqkOc4q9oUmW1yo/edit?usp=sharing"",""กำแพงเพชร!J289"")"),1)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IFERROR(__xludf.DUMMYFUNCTION("IMPORTRANGE(""https://docs.google.com/spreadsheets/d/11923uPwbBZFjjGgGUA6NLw09EwE0CqkOc4q9oUmW1yo/edit?usp=sharing"",""กำแพงเพชร!I291"")"),100)</f>
        <v>100</v>
      </c>
      <c r="J396" s="197">
        <f ca="1">IFERROR(__xludf.DUMMYFUNCTION("IMPORTRANGE(""https://docs.google.com/spreadsheets/d/11923uPwbBZFjjGgGUA6NLw09EwE0CqkOc4q9oUmW1yo/edit?usp=sharing"",""กำแพงเพชร!J291"")"),100)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IFERROR(__xludf.DUMMYFUNCTION("IMPORTRANGE(""https://docs.google.com/spreadsheets/d/11923uPwbBZFjjGgGUA6NLw09EwE0CqkOc4q9oUmW1yo/edit?usp=sharing"",""กำแพงเพชร!I292"")"),1000)</f>
        <v>1000</v>
      </c>
      <c r="J397" s="197">
        <f ca="1">IFERROR(__xludf.DUMMYFUNCTION("IMPORTRANGE(""https://docs.google.com/spreadsheets/d/11923uPwbBZFjjGgGUA6NLw09EwE0CqkOc4q9oUmW1yo/edit?usp=sharing"",""กำแพงเพชร!J292"")"),0)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IFERROR(__xludf.DUMMYFUNCTION("IMPORTRANGE(""https://docs.google.com/spreadsheets/d/11923uPwbBZFjjGgGUA6NLw09EwE0CqkOc4q9oUmW1yo/edit?usp=sharing"",""กำแพงเพชร!I293"")"),100)</f>
        <v>100</v>
      </c>
      <c r="J398" s="197">
        <f ca="1">IFERROR(__xludf.DUMMYFUNCTION("IMPORTRANGE(""https://docs.google.com/spreadsheets/d/11923uPwbBZFjjGgGUA6NLw09EwE0CqkOc4q9oUmW1yo/edit?usp=sharing"",""กำแพงเพชร!J293"")"),0)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IFERROR(__xludf.DUMMYFUNCTION("IMPORTRANGE(""https://docs.google.com/spreadsheets/d/11923uPwbBZFjjGgGUA6NLw09EwE0CqkOc4q9oUmW1yo/edit?usp=sharing"",""กำแพงเพชร!J294"")"),0)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IFERROR(__xludf.DUMMYFUNCTION("IMPORTRANGE(""https://docs.google.com/spreadsheets/d/11923uPwbBZFjjGgGUA6NLw09EwE0CqkOc4q9oUmW1yo/edit?usp=sharing"",""กำแพงเพชร!J295"")"),0)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IFERROR(__xludf.DUMMYFUNCTION("IMPORTRANGE(""https://docs.google.com/spreadsheets/d/11923uPwbBZFjjGgGUA6NLw09EwE0CqkOc4q9oUmW1yo/edit?usp=sharing"",""กำแพงเพชร!I296"")"),135)</f>
        <v>135</v>
      </c>
      <c r="J401" s="369">
        <f ca="1">IFERROR(__xludf.DUMMYFUNCTION("IMPORTRANGE(""https://docs.google.com/spreadsheets/d/11923uPwbBZFjjGgGUA6NLw09EwE0CqkOc4q9oUmW1yo/edit?usp=sharing"",""กำแพงเพชร!J296"")"),0)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IFERROR(__xludf.DUMMYFUNCTION("IMPORTRANGE(""https://docs.google.com/spreadsheets/d/11923uPwbBZFjjGgGUA6NLw09EwE0CqkOc4q9oUmW1yo/edit?usp=sharing"",""กำแพงเพชร!L296"")"),159950)</f>
        <v>159950</v>
      </c>
      <c r="M401" s="371"/>
      <c r="N401" s="371">
        <f ca="1">IFERROR(__xludf.DUMMYFUNCTION("IMPORTRANGE(""https://docs.google.com/spreadsheets/d/11923uPwbBZFjjGgGUA6NLw09EwE0CqkOc4q9oUmW1yo/edit?usp=sharing"",""กำแพงเพชร!M296"")"),91223)</f>
        <v>91223</v>
      </c>
      <c r="O401" s="371">
        <f ca="1">+IF(L401&gt;0,N401*100/L401,0)</f>
        <v>57.032197561738045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IFERROR(__xludf.DUMMYFUNCTION("IMPORTRANGE(""https://docs.google.com/spreadsheets/d/11923uPwbBZFjjGgGUA6NLw09EwE0CqkOc4q9oUmW1yo/edit?usp=sharing"",""กำแพงเพชร!I297"")"),45)</f>
        <v>45</v>
      </c>
      <c r="J402" s="369">
        <f ca="1">IFERROR(__xludf.DUMMYFUNCTION("IMPORTRANGE(""https://docs.google.com/spreadsheets/d/11923uPwbBZFjjGgGUA6NLw09EwE0CqkOc4q9oUmW1yo/edit?usp=sharing"",""กำแพงเพชร!J297"")"),35)</f>
        <v>35</v>
      </c>
      <c r="K402" s="370">
        <f t="shared" ca="1" si="111"/>
        <v>77.777777777777771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IFERROR(__xludf.DUMMYFUNCTION("IMPORTRANGE(""https://docs.google.com/spreadsheets/d/11923uPwbBZFjjGgGUA6NLw09EwE0CqkOc4q9oUmW1yo/edit?usp=sharing"",""กำแพงเพชร!L298"")"),0)</f>
        <v>0</v>
      </c>
      <c r="M403" s="164"/>
      <c r="N403" s="168">
        <f ca="1">IFERROR(__xludf.DUMMYFUNCTION("IMPORTRANGE(""https://docs.google.com/spreadsheets/d/11923uPwbBZFjjGgGUA6NLw09EwE0CqkOc4q9oUmW1yo/edit?usp=sharing"",""กำแพงเพชร!M298"")"),0)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IFERROR(__xludf.DUMMYFUNCTION("IMPORTRANGE(""https://docs.google.com/spreadsheets/d/11923uPwbBZFjjGgGUA6NLw09EwE0CqkOc4q9oUmW1yo/edit?usp=sharing"",""กำแพงเพชร!L299"")"),159950)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IFERROR(__xludf.DUMMYFUNCTION("IMPORTRANGE(""https://docs.google.com/spreadsheets/d/11923uPwbBZFjjGgGUA6NLw09EwE0CqkOc4q9oUmW1yo/edit?usp=sharing"",""กำแพงเพชร!M299"")"),91223)</f>
        <v>91223</v>
      </c>
      <c r="O404" s="168">
        <f t="shared" ca="1" si="112"/>
        <v>57.032197561738045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IFERROR(__xludf.DUMMYFUNCTION("IMPORTRANGE(""https://docs.google.com/spreadsheets/d/11923uPwbBZFjjGgGUA6NLw09EwE0CqkOc4q9oUmW1yo/edit?usp=sharing"",""กำแพงเพชร!L300"")"),0)</f>
        <v>0</v>
      </c>
      <c r="M405" s="168"/>
      <c r="N405" s="168">
        <f ca="1">IFERROR(__xludf.DUMMYFUNCTION("IMPORTRANGE(""https://docs.google.com/spreadsheets/d/11923uPwbBZFjjGgGUA6NLw09EwE0CqkOc4q9oUmW1yo/edit?usp=sharing"",""กำแพงเพชร!M300"")"),0)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IFERROR(__xludf.DUMMYFUNCTION("IMPORTRANGE(""https://docs.google.com/spreadsheets/d/11923uPwbBZFjjGgGUA6NLw09EwE0CqkOc4q9oUmW1yo/edit?usp=sharing"",""กำแพงเพชร!L301"")"),159950)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IFERROR(__xludf.DUMMYFUNCTION("IMPORTRANGE(""https://docs.google.com/spreadsheets/d/11923uPwbBZFjjGgGUA6NLw09EwE0CqkOc4q9oUmW1yo/edit?usp=sharing"",""กำแพงเพชร!M301"")"),91223)</f>
        <v>91223</v>
      </c>
      <c r="O406" s="168">
        <f t="shared" ca="1" si="112"/>
        <v>57.032197561738045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IFERROR(__xludf.DUMMYFUNCTION("IMPORTRANGE(""https://docs.google.com/spreadsheets/d/11923uPwbBZFjjGgGUA6NLw09EwE0CqkOc4q9oUmW1yo/edit?usp=sharing"",""กำแพงเพชร!M302"")"),66573)</f>
        <v>66573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IFERROR(__xludf.DUMMYFUNCTION("IMPORTRANGE(""https://docs.google.com/spreadsheets/d/11923uPwbBZFjjGgGUA6NLw09EwE0CqkOc4q9oUmW1yo/edit?usp=sharing"",""กำแพงเพชร!M303"")"),17500)</f>
        <v>17500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IFERROR(__xludf.DUMMYFUNCTION("IMPORTRANGE(""https://docs.google.com/spreadsheets/d/11923uPwbBZFjjGgGUA6NLw09EwE0CqkOc4q9oUmW1yo/edit?usp=sharing"",""กำแพงเพชร!M304"")"),0)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IFERROR(__xludf.DUMMYFUNCTION("IMPORTRANGE(""https://docs.google.com/spreadsheets/d/11923uPwbBZFjjGgGUA6NLw09EwE0CqkOc4q9oUmW1yo/edit?usp=sharing"",""กำแพงเพชร!M305"")"),7150)</f>
        <v>7150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IFERROR(__xludf.DUMMYFUNCTION("IMPORTRANGE(""https://docs.google.com/spreadsheets/d/11923uPwbBZFjjGgGUA6NLw09EwE0CqkOc4q9oUmW1yo/edit?usp=sharing"",""กำแพงเพชร!J307"")"),0)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IFERROR(__xludf.DUMMYFUNCTION("IMPORTRANGE(""https://docs.google.com/spreadsheets/d/11923uPwbBZFjjGgGUA6NLw09EwE0CqkOc4q9oUmW1yo/edit?usp=sharing"",""กำแพงเพชร!J308"")"),1)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IFERROR(__xludf.DUMMYFUNCTION("IMPORTRANGE(""https://docs.google.com/spreadsheets/d/11923uPwbBZFjjGgGUA6NLw09EwE0CqkOc4q9oUmW1yo/edit?usp=sharing"",""กำแพงเพชร!J309"")"),1)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IFERROR(__xludf.DUMMYFUNCTION("IMPORTRANGE(""https://docs.google.com/spreadsheets/d/11923uPwbBZFjjGgGUA6NLw09EwE0CqkOc4q9oUmW1yo/edit?usp=sharing"",""กำแพงเพชร!J310"")"),0)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IFERROR(__xludf.DUMMYFUNCTION("IMPORTRANGE(""https://docs.google.com/spreadsheets/d/11923uPwbBZFjjGgGUA6NLw09EwE0CqkOc4q9oUmW1yo/edit?usp=sharing"",""กำแพงเพชร!I311"")"),45)</f>
        <v>45</v>
      </c>
      <c r="J416" s="200">
        <f ca="1">IFERROR(__xludf.DUMMYFUNCTION("IMPORTRANGE(""https://docs.google.com/spreadsheets/d/11923uPwbBZFjjGgGUA6NLw09EwE0CqkOc4q9oUmW1yo/edit?usp=sharing"",""กำแพงเพชร!J311"")"),35)</f>
        <v>35</v>
      </c>
      <c r="K416" s="201">
        <f t="shared" ref="K416:K432" ca="1" si="113">IF(I416&gt;0,J416*100/I416,0)</f>
        <v>77.777777777777771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IFERROR(__xludf.DUMMYFUNCTION("IMPORTRANGE(""https://docs.google.com/spreadsheets/d/11923uPwbBZFjjGgGUA6NLw09EwE0CqkOc4q9oUmW1yo/edit?usp=sharing"",""กำแพงเพชร!I312"")"),10)</f>
        <v>10</v>
      </c>
      <c r="J417" s="390">
        <f ca="1">IFERROR(__xludf.DUMMYFUNCTION("IMPORTRANGE(""https://docs.google.com/spreadsheets/d/11923uPwbBZFjjGgGUA6NLw09EwE0CqkOc4q9oUmW1yo/edit?usp=sharing"",""กำแพงเพชร!J312"")"),10)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IFERROR(__xludf.DUMMYFUNCTION("IMPORTRANGE(""https://docs.google.com/spreadsheets/d/11923uPwbBZFjjGgGUA6NLw09EwE0CqkOc4q9oUmW1yo/edit?usp=sharing"",""กำแพงเพชร!I313"")"),30)</f>
        <v>30</v>
      </c>
      <c r="J418" s="391">
        <f ca="1">IFERROR(__xludf.DUMMYFUNCTION("IMPORTRANGE(""https://docs.google.com/spreadsheets/d/11923uPwbBZFjjGgGUA6NLw09EwE0CqkOc4q9oUmW1yo/edit?usp=sharing"",""กำแพงเพชร!J313"")"),0)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IFERROR(__xludf.DUMMYFUNCTION("IMPORTRANGE(""https://docs.google.com/spreadsheets/d/11923uPwbBZFjjGgGUA6NLw09EwE0CqkOc4q9oUmW1yo/edit?usp=sharing"",""กำแพงเพชร!I314"")"),10)</f>
        <v>10</v>
      </c>
      <c r="J419" s="392">
        <f ca="1">IFERROR(__xludf.DUMMYFUNCTION("IMPORTRANGE(""https://docs.google.com/spreadsheets/d/11923uPwbBZFjjGgGUA6NLw09EwE0CqkOc4q9oUmW1yo/edit?usp=sharing"",""กำแพงเพชร!J314"")"),10)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IFERROR(__xludf.DUMMYFUNCTION("IMPORTRANGE(""https://docs.google.com/spreadsheets/d/11923uPwbBZFjjGgGUA6NLw09EwE0CqkOc4q9oUmW1yo/edit?usp=sharing"",""กำแพงเพชร!I315"")"),10)</f>
        <v>10</v>
      </c>
      <c r="J420" s="392">
        <f ca="1">IFERROR(__xludf.DUMMYFUNCTION("IMPORTRANGE(""https://docs.google.com/spreadsheets/d/11923uPwbBZFjjGgGUA6NLw09EwE0CqkOc4q9oUmW1yo/edit?usp=sharing"",""กำแพงเพชร!J315"")"),10)</f>
        <v>10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IFERROR(__xludf.DUMMYFUNCTION("IMPORTRANGE(""https://docs.google.com/spreadsheets/d/11923uPwbBZFjjGgGUA6NLw09EwE0CqkOc4q9oUmW1yo/edit?usp=sharing"",""กำแพงเพชร!I316"")"),25)</f>
        <v>25</v>
      </c>
      <c r="J421" s="390">
        <f ca="1">IFERROR(__xludf.DUMMYFUNCTION("IMPORTRANGE(""https://docs.google.com/spreadsheets/d/11923uPwbBZFjjGgGUA6NLw09EwE0CqkOc4q9oUmW1yo/edit?usp=sharing"",""กำแพงเพชร!J316"")"),25)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IFERROR(__xludf.DUMMYFUNCTION("IMPORTRANGE(""https://docs.google.com/spreadsheets/d/11923uPwbBZFjjGgGUA6NLw09EwE0CqkOc4q9oUmW1yo/edit?usp=sharing"",""กำแพงเพชร!I317"")"),75)</f>
        <v>75</v>
      </c>
      <c r="J422" s="391">
        <f ca="1">IFERROR(__xludf.DUMMYFUNCTION("IMPORTRANGE(""https://docs.google.com/spreadsheets/d/11923uPwbBZFjjGgGUA6NLw09EwE0CqkOc4q9oUmW1yo/edit?usp=sharing"",""กำแพงเพชร!J317"")"),0)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IFERROR(__xludf.DUMMYFUNCTION("IMPORTRANGE(""https://docs.google.com/spreadsheets/d/11923uPwbBZFjjGgGUA6NLw09EwE0CqkOc4q9oUmW1yo/edit?usp=sharing"",""กำแพงเพชร!I318"")"),25)</f>
        <v>25</v>
      </c>
      <c r="J423" s="392">
        <f ca="1">IFERROR(__xludf.DUMMYFUNCTION("IMPORTRANGE(""https://docs.google.com/spreadsheets/d/11923uPwbBZFjjGgGUA6NLw09EwE0CqkOc4q9oUmW1yo/edit?usp=sharing"",""กำแพงเพชร!J318"")"),25)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IFERROR(__xludf.DUMMYFUNCTION("IMPORTRANGE(""https://docs.google.com/spreadsheets/d/11923uPwbBZFjjGgGUA6NLw09EwE0CqkOc4q9oUmW1yo/edit?usp=sharing"",""กำแพงเพชร!I319"")"),25)</f>
        <v>25</v>
      </c>
      <c r="J424" s="392">
        <f ca="1">IFERROR(__xludf.DUMMYFUNCTION("IMPORTRANGE(""https://docs.google.com/spreadsheets/d/11923uPwbBZFjjGgGUA6NLw09EwE0CqkOc4q9oUmW1yo/edit?usp=sharing"",""กำแพงเพชร!J319"")"),25)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IFERROR(__xludf.DUMMYFUNCTION("IMPORTRANGE(""https://docs.google.com/spreadsheets/d/11923uPwbBZFjjGgGUA6NLw09EwE0CqkOc4q9oUmW1yo/edit?usp=sharing"",""กำแพงเพชร!I320"")"),25)</f>
        <v>25</v>
      </c>
      <c r="J425" s="392">
        <f ca="1">IFERROR(__xludf.DUMMYFUNCTION("IMPORTRANGE(""https://docs.google.com/spreadsheets/d/11923uPwbBZFjjGgGUA6NLw09EwE0CqkOc4q9oUmW1yo/edit?usp=sharing"",""กำแพงเพชร!J320"")"),25)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IFERROR(__xludf.DUMMYFUNCTION("IMPORTRANGE(""https://docs.google.com/spreadsheets/d/11923uPwbBZFjjGgGUA6NLw09EwE0CqkOc4q9oUmW1yo/edit?usp=sharing"",""กำแพงเพชร!I321"")"),10)</f>
        <v>10</v>
      </c>
      <c r="J426" s="390">
        <f ca="1">IFERROR(__xludf.DUMMYFUNCTION("IMPORTRANGE(""https://docs.google.com/spreadsheets/d/11923uPwbBZFjjGgGUA6NLw09EwE0CqkOc4q9oUmW1yo/edit?usp=sharing"",""กำแพงเพชร!J321"")"),0)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IFERROR(__xludf.DUMMYFUNCTION("IMPORTRANGE(""https://docs.google.com/spreadsheets/d/11923uPwbBZFjjGgGUA6NLw09EwE0CqkOc4q9oUmW1yo/edit?usp=sharing"",""กำแพงเพชร!I322"")"),30)</f>
        <v>30</v>
      </c>
      <c r="J427" s="391">
        <f ca="1">IFERROR(__xludf.DUMMYFUNCTION("IMPORTRANGE(""https://docs.google.com/spreadsheets/d/11923uPwbBZFjjGgGUA6NLw09EwE0CqkOc4q9oUmW1yo/edit?usp=sharing"",""กำแพงเพชร!J322"")"),0)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IFERROR(__xludf.DUMMYFUNCTION("IMPORTRANGE(""https://docs.google.com/spreadsheets/d/11923uPwbBZFjjGgGUA6NLw09EwE0CqkOc4q9oUmW1yo/edit?usp=sharing"",""กำแพงเพชร!I323"")"),10)</f>
        <v>10</v>
      </c>
      <c r="J428" s="392">
        <f ca="1">IFERROR(__xludf.DUMMYFUNCTION("IMPORTRANGE(""https://docs.google.com/spreadsheets/d/11923uPwbBZFjjGgGUA6NLw09EwE0CqkOc4q9oUmW1yo/edit?usp=sharing"",""กำแพงเพชร!J323"")"),0)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IFERROR(__xludf.DUMMYFUNCTION("IMPORTRANGE(""https://docs.google.com/spreadsheets/d/11923uPwbBZFjjGgGUA6NLw09EwE0CqkOc4q9oUmW1yo/edit?usp=sharing"",""กำแพงเพชร!I324"")"),10)</f>
        <v>10</v>
      </c>
      <c r="J429" s="392">
        <f ca="1">IFERROR(__xludf.DUMMYFUNCTION("IMPORTRANGE(""https://docs.google.com/spreadsheets/d/11923uPwbBZFjjGgGUA6NLw09EwE0CqkOc4q9oUmW1yo/edit?usp=sharing"",""กำแพงเพชร!J324"")"),0)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IFERROR(__xludf.DUMMYFUNCTION("IMPORTRANGE(""https://docs.google.com/spreadsheets/d/11923uPwbBZFjjGgGUA6NLw09EwE0CqkOc4q9oUmW1yo/edit?usp=sharing"",""กำแพงเพชร!I325"")"),35)</f>
        <v>35</v>
      </c>
      <c r="J430" s="390">
        <f ca="1">IFERROR(__xludf.DUMMYFUNCTION("IMPORTRANGE(""https://docs.google.com/spreadsheets/d/11923uPwbBZFjjGgGUA6NLw09EwE0CqkOc4q9oUmW1yo/edit?usp=sharing"",""กำแพงเพชร!J325"")"),0)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IFERROR(__xludf.DUMMYFUNCTION("IMPORTRANGE(""https://docs.google.com/spreadsheets/d/11923uPwbBZFjjGgGUA6NLw09EwE0CqkOc4q9oUmW1yo/edit?usp=sharing"",""กำแพงเพชร!I326"")"),10)</f>
        <v>10</v>
      </c>
      <c r="J431" s="392">
        <f ca="1">IFERROR(__xludf.DUMMYFUNCTION("IMPORTRANGE(""https://docs.google.com/spreadsheets/d/11923uPwbBZFjjGgGUA6NLw09EwE0CqkOc4q9oUmW1yo/edit?usp=sharing"",""กำแพงเพชร!J326"")"),0)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IFERROR(__xludf.DUMMYFUNCTION("IMPORTRANGE(""https://docs.google.com/spreadsheets/d/11923uPwbBZFjjGgGUA6NLw09EwE0CqkOc4q9oUmW1yo/edit?usp=sharing"",""กำแพงเพชร!I327"")"),25)</f>
        <v>25</v>
      </c>
      <c r="J432" s="392">
        <f ca="1">IFERROR(__xludf.DUMMYFUNCTION("IMPORTRANGE(""https://docs.google.com/spreadsheets/d/11923uPwbBZFjjGgGUA6NLw09EwE0CqkOc4q9oUmW1yo/edit?usp=sharing"",""กำแพงเพชร!J327"")"),25)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IFERROR(__xludf.DUMMYFUNCTION("IMPORTRANGE(""https://docs.google.com/spreadsheets/d/11923uPwbBZFjjGgGUA6NLw09EwE0CqkOc4q9oUmW1yo/edit?usp=sharing"",""กำแพงเพชร!J328"")"),0)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IFERROR(__xludf.DUMMYFUNCTION("IMPORTRANGE(""https://docs.google.com/spreadsheets/d/11923uPwbBZFjjGgGUA6NLw09EwE0CqkOc4q9oUmW1yo/edit?usp=sharing"",""กำแพงเพชร!J329"")"),0)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IFERROR(__xludf.DUMMYFUNCTION("IMPORTRANGE(""https://docs.google.com/spreadsheets/d/11923uPwbBZFjjGgGUA6NLw09EwE0CqkOc4q9oUmW1yo/edit?usp=sharing"",""กำแพงเพชร!I330"")"),40)</f>
        <v>40</v>
      </c>
      <c r="J435" s="408">
        <f ca="1">IFERROR(__xludf.DUMMYFUNCTION("IMPORTRANGE(""https://docs.google.com/spreadsheets/d/11923uPwbBZFjjGgGUA6NLw09EwE0CqkOc4q9oUmW1yo/edit?usp=sharing"",""กำแพงเพชร!J330"")"),40)</f>
        <v>40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IFERROR(__xludf.DUMMYFUNCTION("IMPORTRANGE(""https://docs.google.com/spreadsheets/d/11923uPwbBZFjjGgGUA6NLw09EwE0CqkOc4q9oUmW1yo/edit?usp=sharing"",""กำแพงเพชร!L330"")"),139600)</f>
        <v>139600</v>
      </c>
      <c r="M435" s="410"/>
      <c r="N435" s="410">
        <f ca="1">IFERROR(__xludf.DUMMYFUNCTION("IMPORTRANGE(""https://docs.google.com/spreadsheets/d/11923uPwbBZFjjGgGUA6NLw09EwE0CqkOc4q9oUmW1yo/edit?usp=sharing"",""กำแพงเพชร!M330"")"),100699)</f>
        <v>100699</v>
      </c>
      <c r="O435" s="410">
        <f t="shared" ref="O435:O439" ca="1" si="114">+IF(L435&gt;0,N435*100/L435,0)</f>
        <v>72.133954154727789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IFERROR(__xludf.DUMMYFUNCTION("IMPORTRANGE(""https://docs.google.com/spreadsheets/d/11923uPwbBZFjjGgGUA6NLw09EwE0CqkOc4q9oUmW1yo/edit?usp=sharing"",""กำแพงเพชร!L331"")"),0)</f>
        <v>0</v>
      </c>
      <c r="M436" s="164"/>
      <c r="N436" s="168">
        <f ca="1">IFERROR(__xludf.DUMMYFUNCTION("IMPORTRANGE(""https://docs.google.com/spreadsheets/d/11923uPwbBZFjjGgGUA6NLw09EwE0CqkOc4q9oUmW1yo/edit?usp=sharing"",""กำแพงเพชร!M331"")"),0)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IFERROR(__xludf.DUMMYFUNCTION("IMPORTRANGE(""https://docs.google.com/spreadsheets/d/11923uPwbBZFjjGgGUA6NLw09EwE0CqkOc4q9oUmW1yo/edit?usp=sharing"",""กำแพงเพชร!L332"")"),139600)</f>
        <v>139600</v>
      </c>
      <c r="M437" s="165"/>
      <c r="N437" s="168">
        <f ca="1">IFERROR(__xludf.DUMMYFUNCTION("IMPORTRANGE(""https://docs.google.com/spreadsheets/d/11923uPwbBZFjjGgGUA6NLw09EwE0CqkOc4q9oUmW1yo/edit?usp=sharing"",""กำแพงเพชร!M332"")"),100699)</f>
        <v>100699</v>
      </c>
      <c r="O437" s="168">
        <f t="shared" ca="1" si="114"/>
        <v>72.133954154727789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IFERROR(__xludf.DUMMYFUNCTION("IMPORTRANGE(""https://docs.google.com/spreadsheets/d/11923uPwbBZFjjGgGUA6NLw09EwE0CqkOc4q9oUmW1yo/edit?usp=sharing"",""กำแพงเพชร!L333"")"),0)</f>
        <v>0</v>
      </c>
      <c r="M438" s="168"/>
      <c r="N438" s="168">
        <f ca="1">IFERROR(__xludf.DUMMYFUNCTION("IMPORTRANGE(""https://docs.google.com/spreadsheets/d/11923uPwbBZFjjGgGUA6NLw09EwE0CqkOc4q9oUmW1yo/edit?usp=sharing"",""กำแพงเพชร!M333"")"),0)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IFERROR(__xludf.DUMMYFUNCTION("IMPORTRANGE(""https://docs.google.com/spreadsheets/d/11923uPwbBZFjjGgGUA6NLw09EwE0CqkOc4q9oUmW1yo/edit?usp=sharing"",""กำแพงเพชร!L334"")"),139600)</f>
        <v>139600</v>
      </c>
      <c r="M439" s="168"/>
      <c r="N439" s="168">
        <f ca="1">IFERROR(__xludf.DUMMYFUNCTION("IMPORTRANGE(""https://docs.google.com/spreadsheets/d/11923uPwbBZFjjGgGUA6NLw09EwE0CqkOc4q9oUmW1yo/edit?usp=sharing"",""กำแพงเพชร!M334"")"),100699)</f>
        <v>100699</v>
      </c>
      <c r="O439" s="168">
        <f t="shared" ca="1" si="114"/>
        <v>72.133954154727789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IFERROR(__xludf.DUMMYFUNCTION("IMPORTRANGE(""https://docs.google.com/spreadsheets/d/11923uPwbBZFjjGgGUA6NLw09EwE0CqkOc4q9oUmW1yo/edit?usp=sharing"",""กำแพงเพชร!M335"")"),83359)</f>
        <v>83359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IFERROR(__xludf.DUMMYFUNCTION("IMPORTRANGE(""https://docs.google.com/spreadsheets/d/11923uPwbBZFjjGgGUA6NLw09EwE0CqkOc4q9oUmW1yo/edit?usp=sharing"",""กำแพงเพชร!M336"")"),0)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IFERROR(__xludf.DUMMYFUNCTION("IMPORTRANGE(""https://docs.google.com/spreadsheets/d/11923uPwbBZFjjGgGUA6NLw09EwE0CqkOc4q9oUmW1yo/edit?usp=sharing"",""กำแพงเพชร!M337"")"),0)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IFERROR(__xludf.DUMMYFUNCTION("IMPORTRANGE(""https://docs.google.com/spreadsheets/d/11923uPwbBZFjjGgGUA6NLw09EwE0CqkOc4q9oUmW1yo/edit?usp=sharing"",""กำแพงเพชร!M338"")"),17340)</f>
        <v>17340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IFERROR(__xludf.DUMMYFUNCTION("IMPORTRANGE(""https://docs.google.com/spreadsheets/d/11923uPwbBZFjjGgGUA6NLw09EwE0CqkOc4q9oUmW1yo/edit?usp=sharing"",""กำแพงเพชร!J340"")"),0)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IFERROR(__xludf.DUMMYFUNCTION("IMPORTRANGE(""https://docs.google.com/spreadsheets/d/11923uPwbBZFjjGgGUA6NLw09EwE0CqkOc4q9oUmW1yo/edit?usp=sharing"",""กำแพงเพชร!J341"")"),1)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IFERROR(__xludf.DUMMYFUNCTION("IMPORTRANGE(""https://docs.google.com/spreadsheets/d/11923uPwbBZFjjGgGUA6NLw09EwE0CqkOc4q9oUmW1yo/edit?usp=sharing"",""กำแพงเพชร!J342"")"),1)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IFERROR(__xludf.DUMMYFUNCTION("IMPORTRANGE(""https://docs.google.com/spreadsheets/d/11923uPwbBZFjjGgGUA6NLw09EwE0CqkOc4q9oUmW1yo/edit?usp=sharing"",""กำแพงเพชร!J343"")"),1)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IFERROR(__xludf.DUMMYFUNCTION("IMPORTRANGE(""https://docs.google.com/spreadsheets/d/11923uPwbBZFjjGgGUA6NLw09EwE0CqkOc4q9oUmW1yo/edit?usp=sharing"",""กำแพงเพชร!I344"")"),40)</f>
        <v>40</v>
      </c>
      <c r="J449" s="200">
        <f ca="1">IFERROR(__xludf.DUMMYFUNCTION("IMPORTRANGE(""https://docs.google.com/spreadsheets/d/11923uPwbBZFjjGgGUA6NLw09EwE0CqkOc4q9oUmW1yo/edit?usp=sharing"",""กำแพงเพชร!J344"")"),40)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IFERROR(__xludf.DUMMYFUNCTION("IMPORTRANGE(""https://docs.google.com/spreadsheets/d/11923uPwbBZFjjGgGUA6NLw09EwE0CqkOc4q9oUmW1yo/edit?usp=sharing"",""กำแพงเพชร!I345"")"),20)</f>
        <v>20</v>
      </c>
      <c r="J450" s="188">
        <f ca="1">IFERROR(__xludf.DUMMYFUNCTION("IMPORTRANGE(""https://docs.google.com/spreadsheets/d/11923uPwbBZFjjGgGUA6NLw09EwE0CqkOc4q9oUmW1yo/edit?usp=sharing"",""กำแพงเพชร!J345"")"),20)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IFERROR(__xludf.DUMMYFUNCTION("IMPORTRANGE(""https://docs.google.com/spreadsheets/d/11923uPwbBZFjjGgGUA6NLw09EwE0CqkOc4q9oUmW1yo/edit?usp=sharing"",""กำแพงเพชร!I346"")"),20)</f>
        <v>20</v>
      </c>
      <c r="J451" s="187">
        <f ca="1">IFERROR(__xludf.DUMMYFUNCTION("IMPORTRANGE(""https://docs.google.com/spreadsheets/d/11923uPwbBZFjjGgGUA6NLw09EwE0CqkOc4q9oUmW1yo/edit?usp=sharing"",""กำแพงเพชร!J346"")"),20)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IFERROR(__xludf.DUMMYFUNCTION("IMPORTRANGE(""https://docs.google.com/spreadsheets/d/11923uPwbBZFjjGgGUA6NLw09EwE0CqkOc4q9oUmW1yo/edit?usp=sharing"",""กำแพงเพชร!I347"")"),0)</f>
        <v>0</v>
      </c>
      <c r="J452" s="187">
        <f ca="1">IFERROR(__xludf.DUMMYFUNCTION("IMPORTRANGE(""https://docs.google.com/spreadsheets/d/11923uPwbBZFjjGgGUA6NLw09EwE0CqkOc4q9oUmW1yo/edit?usp=sharing"",""กำแพงเพชร!J347"")"),0)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IFERROR(__xludf.DUMMYFUNCTION("IMPORTRANGE(""https://docs.google.com/spreadsheets/d/11923uPwbBZFjjGgGUA6NLw09EwE0CqkOc4q9oUmW1yo/edit?usp=sharing"",""กำแพงเพชร!J348"")"),0)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IFERROR(__xludf.DUMMYFUNCTION("IMPORTRANGE(""https://docs.google.com/spreadsheets/d/11923uPwbBZFjjGgGUA6NLw09EwE0CqkOc4q9oUmW1yo/edit?usp=sharing"",""กำแพงเพชร!J349"")"),0)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IFERROR(__xludf.DUMMYFUNCTION("IMPORTRANGE(""https://docs.google.com/spreadsheets/d/11923uPwbBZFjjGgGUA6NLw09EwE0CqkOc4q9oUmW1yo/edit?usp=sharing"",""กำแพงเพชร!I350"")"),162754)</f>
        <v>162754</v>
      </c>
      <c r="J455" s="369">
        <f ca="1">IFERROR(__xludf.DUMMYFUNCTION("IMPORTRANGE(""https://docs.google.com/spreadsheets/d/11923uPwbBZFjjGgGUA6NLw09EwE0CqkOc4q9oUmW1yo/edit?usp=sharing"",""กำแพงเพชร!J350"")"),0)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IFERROR(__xludf.DUMMYFUNCTION("IMPORTRANGE(""https://docs.google.com/spreadsheets/d/11923uPwbBZFjjGgGUA6NLw09EwE0CqkOc4q9oUmW1yo/edit?usp=sharing"",""กำแพงเพชร!L350"")"),1082066)</f>
        <v>1082066</v>
      </c>
      <c r="M455" s="371"/>
      <c r="N455" s="371">
        <f ca="1">IFERROR(__xludf.DUMMYFUNCTION("IMPORTRANGE(""https://docs.google.com/spreadsheets/d/11923uPwbBZFjjGgGUA6NLw09EwE0CqkOc4q9oUmW1yo/edit?usp=sharing"",""กำแพงเพชร!M350"")"),44476.67)</f>
        <v>44476.67</v>
      </c>
      <c r="O455" s="371">
        <f t="shared" ref="O455:O459" ca="1" si="116">+IF(L455&gt;0,N455*100/L455,0)</f>
        <v>4.1103472431441332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IFERROR(__xludf.DUMMYFUNCTION("IMPORTRANGE(""https://docs.google.com/spreadsheets/d/11923uPwbBZFjjGgGUA6NLw09EwE0CqkOc4q9oUmW1yo/edit?usp=sharing"",""กำแพงเพชร!L351"")"),0)</f>
        <v>0</v>
      </c>
      <c r="M456" s="164"/>
      <c r="N456" s="168">
        <f ca="1">IFERROR(__xludf.DUMMYFUNCTION("IMPORTRANGE(""https://docs.google.com/spreadsheets/d/11923uPwbBZFjjGgGUA6NLw09EwE0CqkOc4q9oUmW1yo/edit?usp=sharing"",""กำแพงเพชร!M351"")"),0)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IFERROR(__xludf.DUMMYFUNCTION("IMPORTRANGE(""https://docs.google.com/spreadsheets/d/11923uPwbBZFjjGgGUA6NLw09EwE0CqkOc4q9oUmW1yo/edit?usp=sharing"",""กำแพงเพชร!L352"")"),1082066)</f>
        <v>1082066</v>
      </c>
      <c r="M457" s="165"/>
      <c r="N457" s="168">
        <f ca="1">IFERROR(__xludf.DUMMYFUNCTION("IMPORTRANGE(""https://docs.google.com/spreadsheets/d/11923uPwbBZFjjGgGUA6NLw09EwE0CqkOc4q9oUmW1yo/edit?usp=sharing"",""กำแพงเพชร!M352"")"),44476.67)</f>
        <v>44476.67</v>
      </c>
      <c r="O457" s="168">
        <f t="shared" ca="1" si="116"/>
        <v>4.1103472431441332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IFERROR(__xludf.DUMMYFUNCTION("IMPORTRANGE(""https://docs.google.com/spreadsheets/d/11923uPwbBZFjjGgGUA6NLw09EwE0CqkOc4q9oUmW1yo/edit?usp=sharing"",""กำแพงเพชร!L353"")"),0)</f>
        <v>0</v>
      </c>
      <c r="M458" s="168"/>
      <c r="N458" s="168">
        <f ca="1">IFERROR(__xludf.DUMMYFUNCTION("IMPORTRANGE(""https://docs.google.com/spreadsheets/d/11923uPwbBZFjjGgGUA6NLw09EwE0CqkOc4q9oUmW1yo/edit?usp=sharing"",""กำแพงเพชร!M353"")"),0)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IFERROR(__xludf.DUMMYFUNCTION("IMPORTRANGE(""https://docs.google.com/spreadsheets/d/11923uPwbBZFjjGgGUA6NLw09EwE0CqkOc4q9oUmW1yo/edit?usp=sharing"",""กำแพงเพชร!L354"")"),1082066)</f>
        <v>1082066</v>
      </c>
      <c r="M459" s="168"/>
      <c r="N459" s="168">
        <f ca="1">IFERROR(__xludf.DUMMYFUNCTION("IMPORTRANGE(""https://docs.google.com/spreadsheets/d/11923uPwbBZFjjGgGUA6NLw09EwE0CqkOc4q9oUmW1yo/edit?usp=sharing"",""กำแพงเพชร!M354"")"),44476.67)</f>
        <v>44476.67</v>
      </c>
      <c r="O459" s="168">
        <f t="shared" ca="1" si="116"/>
        <v>4.1103472431441332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IFERROR(__xludf.DUMMYFUNCTION("IMPORTRANGE(""https://docs.google.com/spreadsheets/d/11923uPwbBZFjjGgGUA6NLw09EwE0CqkOc4q9oUmW1yo/edit?usp=sharing"",""กำแพงเพชร!M355"")"),0)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IFERROR(__xludf.DUMMYFUNCTION("IMPORTRANGE(""https://docs.google.com/spreadsheets/d/11923uPwbBZFjjGgGUA6NLw09EwE0CqkOc4q9oUmW1yo/edit?usp=sharing"",""กำแพงเพชร!M356"")"),0)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IFERROR(__xludf.DUMMYFUNCTION("IMPORTRANGE(""https://docs.google.com/spreadsheets/d/11923uPwbBZFjjGgGUA6NLw09EwE0CqkOc4q9oUmW1yo/edit?usp=sharing"",""กำแพงเพชร!M357"")"),21266.67)</f>
        <v>21266.67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IFERROR(__xludf.DUMMYFUNCTION("IMPORTRANGE(""https://docs.google.com/spreadsheets/d/11923uPwbBZFjjGgGUA6NLw09EwE0CqkOc4q9oUmW1yo/edit?usp=sharing"",""กำแพงเพชร!M358"")"),23210)</f>
        <v>23210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IFERROR(__xludf.DUMMYFUNCTION("IMPORTRANGE(""https://docs.google.com/spreadsheets/d/11923uPwbBZFjjGgGUA6NLw09EwE0CqkOc4q9oUmW1yo/edit?usp=sharing"",""กำแพงเพชร!I359"")"),162754)</f>
        <v>162754</v>
      </c>
      <c r="J464" s="266">
        <f ca="1">IFERROR(__xludf.DUMMYFUNCTION("IMPORTRANGE(""https://docs.google.com/spreadsheets/d/11923uPwbBZFjjGgGUA6NLw09EwE0CqkOc4q9oUmW1yo/edit?usp=sharing"",""กำแพงเพชร!J359"")"),0)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IFERROR(__xludf.DUMMYFUNCTION("IMPORTRANGE(""https://docs.google.com/spreadsheets/d/11923uPwbBZFjjGgGUA6NLw09EwE0CqkOc4q9oUmW1yo/edit?usp=sharing"",""กำแพงเพชร!I360"")"),162754)</f>
        <v>162754</v>
      </c>
      <c r="J465" s="418">
        <f ca="1">IFERROR(__xludf.DUMMYFUNCTION("IMPORTRANGE(""https://docs.google.com/spreadsheets/d/11923uPwbBZFjjGgGUA6NLw09EwE0CqkOc4q9oUmW1yo/edit?usp=sharing"",""กำแพงเพชร!J360"")"),162753)</f>
        <v>162753</v>
      </c>
      <c r="K465" s="201">
        <f t="shared" ca="1" si="117"/>
        <v>99.999385575776941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IFERROR(__xludf.DUMMYFUNCTION("IMPORTRANGE(""https://docs.google.com/spreadsheets/d/11923uPwbBZFjjGgGUA6NLw09EwE0CqkOc4q9oUmW1yo/edit?usp=sharing"",""กำแพงเพชร!I361"")"),12870)</f>
        <v>12870</v>
      </c>
      <c r="J466" s="418">
        <f ca="1">IFERROR(__xludf.DUMMYFUNCTION("IMPORTRANGE(""https://docs.google.com/spreadsheets/d/11923uPwbBZFjjGgGUA6NLw09EwE0CqkOc4q9oUmW1yo/edit?usp=sharing"",""กำแพงเพชร!J361"")"),12870)</f>
        <v>12870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IFERROR(__xludf.DUMMYFUNCTION("IMPORTRANGE(""https://docs.google.com/spreadsheets/d/11923uPwbBZFjjGgGUA6NLw09EwE0CqkOc4q9oUmW1yo/edit?usp=sharing"",""กำแพงเพชร!I362"")"),0)</f>
        <v>0</v>
      </c>
      <c r="J467" s="188">
        <f ca="1">IFERROR(__xludf.DUMMYFUNCTION("IMPORTRANGE(""https://docs.google.com/spreadsheets/d/11923uPwbBZFjjGgGUA6NLw09EwE0CqkOc4q9oUmW1yo/edit?usp=sharing"",""กำแพงเพชร!J362"")"),120898)</f>
        <v>120898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IFERROR(__xludf.DUMMYFUNCTION("IMPORTRANGE(""https://docs.google.com/spreadsheets/d/11923uPwbBZFjjGgGUA6NLw09EwE0CqkOc4q9oUmW1yo/edit?usp=sharing"",""กำแพงเพชร!I363"")"),0)</f>
        <v>0</v>
      </c>
      <c r="J468" s="188">
        <f ca="1">IFERROR(__xludf.DUMMYFUNCTION("IMPORTRANGE(""https://docs.google.com/spreadsheets/d/11923uPwbBZFjjGgGUA6NLw09EwE0CqkOc4q9oUmW1yo/edit?usp=sharing"",""กำแพงเพชร!J363"")"),10340)</f>
        <v>10340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IFERROR(__xludf.DUMMYFUNCTION("IMPORTRANGE(""https://docs.google.com/spreadsheets/d/11923uPwbBZFjjGgGUA6NLw09EwE0CqkOc4q9oUmW1yo/edit?usp=sharing"",""กำแพงเพชร!I364"")"),0)</f>
        <v>0</v>
      </c>
      <c r="J469" s="188">
        <f ca="1">IFERROR(__xludf.DUMMYFUNCTION("IMPORTRANGE(""https://docs.google.com/spreadsheets/d/11923uPwbBZFjjGgGUA6NLw09EwE0CqkOc4q9oUmW1yo/edit?usp=sharing"",""กำแพงเพชร!J364"")"),39440)</f>
        <v>39440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IFERROR(__xludf.DUMMYFUNCTION("IMPORTRANGE(""https://docs.google.com/spreadsheets/d/11923uPwbBZFjjGgGUA6NLw09EwE0CqkOc4q9oUmW1yo/edit?usp=sharing"",""กำแพงเพชร!I365"")"),0)</f>
        <v>0</v>
      </c>
      <c r="J470" s="188">
        <f ca="1">IFERROR(__xludf.DUMMYFUNCTION("IMPORTRANGE(""https://docs.google.com/spreadsheets/d/11923uPwbBZFjjGgGUA6NLw09EwE0CqkOc4q9oUmW1yo/edit?usp=sharing"",""กำแพงเพชร!J365"")"),2301)</f>
        <v>2301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IFERROR(__xludf.DUMMYFUNCTION("IMPORTRANGE(""https://docs.google.com/spreadsheets/d/11923uPwbBZFjjGgGUA6NLw09EwE0CqkOc4q9oUmW1yo/edit?usp=sharing"",""กำแพงเพชร!I366"")"),0)</f>
        <v>0</v>
      </c>
      <c r="J471" s="188">
        <f ca="1">IFERROR(__xludf.DUMMYFUNCTION("IMPORTRANGE(""https://docs.google.com/spreadsheets/d/11923uPwbBZFjjGgGUA6NLw09EwE0CqkOc4q9oUmW1yo/edit?usp=sharing"",""กำแพงเพชร!J366"")"),2415)</f>
        <v>2415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IFERROR(__xludf.DUMMYFUNCTION("IMPORTRANGE(""https://docs.google.com/spreadsheets/d/11923uPwbBZFjjGgGUA6NLw09EwE0CqkOc4q9oUmW1yo/edit?usp=sharing"",""กำแพงเพชร!I367"")"),0)</f>
        <v>0</v>
      </c>
      <c r="J472" s="188">
        <f ca="1">IFERROR(__xludf.DUMMYFUNCTION("IMPORTRANGE(""https://docs.google.com/spreadsheets/d/11923uPwbBZFjjGgGUA6NLw09EwE0CqkOc4q9oUmW1yo/edit?usp=sharing"",""กำแพงเพชร!J367"")"),229)</f>
        <v>229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IFERROR(__xludf.DUMMYFUNCTION("IMPORTRANGE(""https://docs.google.com/spreadsheets/d/11923uPwbBZFjjGgGUA6NLw09EwE0CqkOc4q9oUmW1yo/edit?usp=sharing"",""กำแพงเพชร!I368"")"),162754)</f>
        <v>162754</v>
      </c>
      <c r="J473" s="418">
        <f ca="1">IFERROR(__xludf.DUMMYFUNCTION("IMPORTRANGE(""https://docs.google.com/spreadsheets/d/11923uPwbBZFjjGgGUA6NLw09EwE0CqkOc4q9oUmW1yo/edit?usp=sharing"",""กำแพงเพชร!J368"")"),0)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IFERROR(__xludf.DUMMYFUNCTION("IMPORTRANGE(""https://docs.google.com/spreadsheets/d/11923uPwbBZFjjGgGUA6NLw09EwE0CqkOc4q9oUmW1yo/edit?usp=sharing"",""กำแพงเพชร!I369"")"),12870)</f>
        <v>12870</v>
      </c>
      <c r="J474" s="418">
        <f ca="1">IFERROR(__xludf.DUMMYFUNCTION("IMPORTRANGE(""https://docs.google.com/spreadsheets/d/11923uPwbBZFjjGgGUA6NLw09EwE0CqkOc4q9oUmW1yo/edit?usp=sharing"",""กำแพงเพชร!J369"")"),0)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IFERROR(__xludf.DUMMYFUNCTION("IMPORTRANGE(""https://docs.google.com/spreadsheets/d/11923uPwbBZFjjGgGUA6NLw09EwE0CqkOc4q9oUmW1yo/edit?usp=sharing"",""กำแพงเพชร!I370"")"),0)</f>
        <v>0</v>
      </c>
      <c r="J475" s="188">
        <f ca="1">IFERROR(__xludf.DUMMYFUNCTION("IMPORTRANGE(""https://docs.google.com/spreadsheets/d/11923uPwbBZFjjGgGUA6NLw09EwE0CqkOc4q9oUmW1yo/edit?usp=sharing"",""กำแพงเพชร!J370"")"),0)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IFERROR(__xludf.DUMMYFUNCTION("IMPORTRANGE(""https://docs.google.com/spreadsheets/d/11923uPwbBZFjjGgGUA6NLw09EwE0CqkOc4q9oUmW1yo/edit?usp=sharing"",""กำแพงเพชร!I371"")"),0)</f>
        <v>0</v>
      </c>
      <c r="J476" s="188">
        <f ca="1">IFERROR(__xludf.DUMMYFUNCTION("IMPORTRANGE(""https://docs.google.com/spreadsheets/d/11923uPwbBZFjjGgGUA6NLw09EwE0CqkOc4q9oUmW1yo/edit?usp=sharing"",""กำแพงเพชร!J371"")"),0)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IFERROR(__xludf.DUMMYFUNCTION("IMPORTRANGE(""https://docs.google.com/spreadsheets/d/11923uPwbBZFjjGgGUA6NLw09EwE0CqkOc4q9oUmW1yo/edit?usp=sharing"",""กำแพงเพชร!I372"")"),0)</f>
        <v>0</v>
      </c>
      <c r="J477" s="188">
        <f ca="1">IFERROR(__xludf.DUMMYFUNCTION("IMPORTRANGE(""https://docs.google.com/spreadsheets/d/11923uPwbBZFjjGgGUA6NLw09EwE0CqkOc4q9oUmW1yo/edit?usp=sharing"",""กำแพงเพชร!J372"")"),0)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IFERROR(__xludf.DUMMYFUNCTION("IMPORTRANGE(""https://docs.google.com/spreadsheets/d/11923uPwbBZFjjGgGUA6NLw09EwE0CqkOc4q9oUmW1yo/edit?usp=sharing"",""กำแพงเพชร!I373"")"),0)</f>
        <v>0</v>
      </c>
      <c r="J478" s="188">
        <f ca="1">IFERROR(__xludf.DUMMYFUNCTION("IMPORTRANGE(""https://docs.google.com/spreadsheets/d/11923uPwbBZFjjGgGUA6NLw09EwE0CqkOc4q9oUmW1yo/edit?usp=sharing"",""กำแพงเพชร!J373"")"),0)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IFERROR(__xludf.DUMMYFUNCTION("IMPORTRANGE(""https://docs.google.com/spreadsheets/d/11923uPwbBZFjjGgGUA6NLw09EwE0CqkOc4q9oUmW1yo/edit?usp=sharing"",""กำแพงเพชร!I374"")"),0)</f>
        <v>0</v>
      </c>
      <c r="J479" s="188">
        <f ca="1">IFERROR(__xludf.DUMMYFUNCTION("IMPORTRANGE(""https://docs.google.com/spreadsheets/d/11923uPwbBZFjjGgGUA6NLw09EwE0CqkOc4q9oUmW1yo/edit?usp=sharing"",""กำแพงเพชร!J374"")"),0)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IFERROR(__xludf.DUMMYFUNCTION("IMPORTRANGE(""https://docs.google.com/spreadsheets/d/11923uPwbBZFjjGgGUA6NLw09EwE0CqkOc4q9oUmW1yo/edit?usp=sharing"",""กำแพงเพชร!I375"")"),0)</f>
        <v>0</v>
      </c>
      <c r="J480" s="188">
        <f ca="1">IFERROR(__xludf.DUMMYFUNCTION("IMPORTRANGE(""https://docs.google.com/spreadsheets/d/11923uPwbBZFjjGgGUA6NLw09EwE0CqkOc4q9oUmW1yo/edit?usp=sharing"",""กำแพงเพชร!J375"")"),0)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IFERROR(__xludf.DUMMYFUNCTION("IMPORTRANGE(""https://docs.google.com/spreadsheets/d/11923uPwbBZFjjGgGUA6NLw09EwE0CqkOc4q9oUmW1yo/edit?usp=sharing"",""กำแพงเพชร!I376"")"),162754)</f>
        <v>162754</v>
      </c>
      <c r="J481" s="418">
        <f ca="1">IFERROR(__xludf.DUMMYFUNCTION("IMPORTRANGE(""https://docs.google.com/spreadsheets/d/11923uPwbBZFjjGgGUA6NLw09EwE0CqkOc4q9oUmW1yo/edit?usp=sharing"",""กำแพงเพชร!J376"")"),0)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IFERROR(__xludf.DUMMYFUNCTION("IMPORTRANGE(""https://docs.google.com/spreadsheets/d/11923uPwbBZFjjGgGUA6NLw09EwE0CqkOc4q9oUmW1yo/edit?usp=sharing"",""กำแพงเพชร!I377"")"),12870)</f>
        <v>12870</v>
      </c>
      <c r="J482" s="418">
        <f ca="1">IFERROR(__xludf.DUMMYFUNCTION("IMPORTRANGE(""https://docs.google.com/spreadsheets/d/11923uPwbBZFjjGgGUA6NLw09EwE0CqkOc4q9oUmW1yo/edit?usp=sharing"",""กำแพงเพชร!J377"")"),0)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IFERROR(__xludf.DUMMYFUNCTION("IMPORTRANGE(""https://docs.google.com/spreadsheets/d/11923uPwbBZFjjGgGUA6NLw09EwE0CqkOc4q9oUmW1yo/edit?usp=sharing"",""กำแพงเพชร!I378"")"),0)</f>
        <v>0</v>
      </c>
      <c r="J483" s="188">
        <f ca="1">IFERROR(__xludf.DUMMYFUNCTION("IMPORTRANGE(""https://docs.google.com/spreadsheets/d/11923uPwbBZFjjGgGUA6NLw09EwE0CqkOc4q9oUmW1yo/edit?usp=sharing"",""กำแพงเพชร!J378"")"),0)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IFERROR(__xludf.DUMMYFUNCTION("IMPORTRANGE(""https://docs.google.com/spreadsheets/d/11923uPwbBZFjjGgGUA6NLw09EwE0CqkOc4q9oUmW1yo/edit?usp=sharing"",""กำแพงเพชร!I379"")"),0)</f>
        <v>0</v>
      </c>
      <c r="J484" s="188">
        <f ca="1">IFERROR(__xludf.DUMMYFUNCTION("IMPORTRANGE(""https://docs.google.com/spreadsheets/d/11923uPwbBZFjjGgGUA6NLw09EwE0CqkOc4q9oUmW1yo/edit?usp=sharing"",""กำแพงเพชร!J379"")"),0)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IFERROR(__xludf.DUMMYFUNCTION("IMPORTRANGE(""https://docs.google.com/spreadsheets/d/11923uPwbBZFjjGgGUA6NLw09EwE0CqkOc4q9oUmW1yo/edit?usp=sharing"",""กำแพงเพชร!I380"")"),0)</f>
        <v>0</v>
      </c>
      <c r="J485" s="188">
        <f ca="1">IFERROR(__xludf.DUMMYFUNCTION("IMPORTRANGE(""https://docs.google.com/spreadsheets/d/11923uPwbBZFjjGgGUA6NLw09EwE0CqkOc4q9oUmW1yo/edit?usp=sharing"",""กำแพงเพชร!J380"")"),0)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IFERROR(__xludf.DUMMYFUNCTION("IMPORTRANGE(""https://docs.google.com/spreadsheets/d/11923uPwbBZFjjGgGUA6NLw09EwE0CqkOc4q9oUmW1yo/edit?usp=sharing"",""กำแพงเพชร!I381"")"),0)</f>
        <v>0</v>
      </c>
      <c r="J486" s="188">
        <f ca="1">IFERROR(__xludf.DUMMYFUNCTION("IMPORTRANGE(""https://docs.google.com/spreadsheets/d/11923uPwbBZFjjGgGUA6NLw09EwE0CqkOc4q9oUmW1yo/edit?usp=sharing"",""กำแพงเพชร!J381"")"),0)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IFERROR(__xludf.DUMMYFUNCTION("IMPORTRANGE(""https://docs.google.com/spreadsheets/d/11923uPwbBZFjjGgGUA6NLw09EwE0CqkOc4q9oUmW1yo/edit?usp=sharing"",""กำแพงเพชร!I382"")"),0)</f>
        <v>0</v>
      </c>
      <c r="J487" s="418">
        <f ca="1">IFERROR(__xludf.DUMMYFUNCTION("IMPORTRANGE(""https://docs.google.com/spreadsheets/d/11923uPwbBZFjjGgGUA6NLw09EwE0CqkOc4q9oUmW1yo/edit?usp=sharing"",""กำแพงเพชร!J382"")"),0)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IFERROR(__xludf.DUMMYFUNCTION("IMPORTRANGE(""https://docs.google.com/spreadsheets/d/11923uPwbBZFjjGgGUA6NLw09EwE0CqkOc4q9oUmW1yo/edit?usp=sharing"",""กำแพงเพชร!I383"")"),0)</f>
        <v>0</v>
      </c>
      <c r="J488" s="418">
        <f ca="1">IFERROR(__xludf.DUMMYFUNCTION("IMPORTRANGE(""https://docs.google.com/spreadsheets/d/11923uPwbBZFjjGgGUA6NLw09EwE0CqkOc4q9oUmW1yo/edit?usp=sharing"",""กำแพงเพชร!J383"")"),0)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IFERROR(__xludf.DUMMYFUNCTION("IMPORTRANGE(""https://docs.google.com/spreadsheets/d/11923uPwbBZFjjGgGUA6NLw09EwE0CqkOc4q9oUmW1yo/edit?usp=sharing"",""กำแพงเพชร!I384"")"),0)</f>
        <v>0</v>
      </c>
      <c r="J489" s="188">
        <f ca="1">IFERROR(__xludf.DUMMYFUNCTION("IMPORTRANGE(""https://docs.google.com/spreadsheets/d/11923uPwbBZFjjGgGUA6NLw09EwE0CqkOc4q9oUmW1yo/edit?usp=sharing"",""กำแพงเพชร!J384"")"),0)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IFERROR(__xludf.DUMMYFUNCTION("IMPORTRANGE(""https://docs.google.com/spreadsheets/d/11923uPwbBZFjjGgGUA6NLw09EwE0CqkOc4q9oUmW1yo/edit?usp=sharing"",""กำแพงเพชร!I385"")"),0)</f>
        <v>0</v>
      </c>
      <c r="J490" s="188">
        <f ca="1">IFERROR(__xludf.DUMMYFUNCTION("IMPORTRANGE(""https://docs.google.com/spreadsheets/d/11923uPwbBZFjjGgGUA6NLw09EwE0CqkOc4q9oUmW1yo/edit?usp=sharing"",""กำแพงเพชร!J385"")"),0)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IFERROR(__xludf.DUMMYFUNCTION("IMPORTRANGE(""https://docs.google.com/spreadsheets/d/11923uPwbBZFjjGgGUA6NLw09EwE0CqkOc4q9oUmW1yo/edit?usp=sharing"",""กำแพงเพชร!I386"")"),0)</f>
        <v>0</v>
      </c>
      <c r="J491" s="188">
        <f ca="1">IFERROR(__xludf.DUMMYFUNCTION("IMPORTRANGE(""https://docs.google.com/spreadsheets/d/11923uPwbBZFjjGgGUA6NLw09EwE0CqkOc4q9oUmW1yo/edit?usp=sharing"",""กำแพงเพชร!J386"")"),0)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IFERROR(__xludf.DUMMYFUNCTION("IMPORTRANGE(""https://docs.google.com/spreadsheets/d/11923uPwbBZFjjGgGUA6NLw09EwE0CqkOc4q9oUmW1yo/edit?usp=sharing"",""กำแพงเพชร!I387"")"),0)</f>
        <v>0</v>
      </c>
      <c r="J492" s="188">
        <f ca="1">IFERROR(__xludf.DUMMYFUNCTION("IMPORTRANGE(""https://docs.google.com/spreadsheets/d/11923uPwbBZFjjGgGUA6NLw09EwE0CqkOc4q9oUmW1yo/edit?usp=sharing"",""กำแพงเพชร!J387"")"),0)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IFERROR(__xludf.DUMMYFUNCTION("IMPORTRANGE(""https://docs.google.com/spreadsheets/d/11923uPwbBZFjjGgGUA6NLw09EwE0CqkOc4q9oUmW1yo/edit?usp=sharing"",""กำแพงเพชร!I388"")"),0)</f>
        <v>0</v>
      </c>
      <c r="J493" s="188">
        <f ca="1">IFERROR(__xludf.DUMMYFUNCTION("IMPORTRANGE(""https://docs.google.com/spreadsheets/d/11923uPwbBZFjjGgGUA6NLw09EwE0CqkOc4q9oUmW1yo/edit?usp=sharing"",""กำแพงเพชร!J388"")"),0)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IFERROR(__xludf.DUMMYFUNCTION("IMPORTRANGE(""https://docs.google.com/spreadsheets/d/11923uPwbBZFjjGgGUA6NLw09EwE0CqkOc4q9oUmW1yo/edit?usp=sharing"",""กำแพงเพชร!I389"")"),0)</f>
        <v>0</v>
      </c>
      <c r="J494" s="434">
        <f ca="1">IFERROR(__xludf.DUMMYFUNCTION("IMPORTRANGE(""https://docs.google.com/spreadsheets/d/11923uPwbBZFjjGgGUA6NLw09EwE0CqkOc4q9oUmW1yo/edit?usp=sharing"",""กำแพงเพชร!J389"")"),0)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IFERROR(__xludf.DUMMYFUNCTION("IMPORTRANGE(""https://docs.google.com/spreadsheets/d/11923uPwbBZFjjGgGUA6NLw09EwE0CqkOc4q9oUmW1yo/edit?usp=sharing"",""กำแพงเพชร!I390"")"),0)</f>
        <v>0</v>
      </c>
      <c r="J495" s="434">
        <f ca="1">IFERROR(__xludf.DUMMYFUNCTION("IMPORTRANGE(""https://docs.google.com/spreadsheets/d/11923uPwbBZFjjGgGUA6NLw09EwE0CqkOc4q9oUmW1yo/edit?usp=sharing"",""กำแพงเพชร!J390"")"),0)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IFERROR(__xludf.DUMMYFUNCTION("IMPORTRANGE(""https://docs.google.com/spreadsheets/d/11923uPwbBZFjjGgGUA6NLw09EwE0CqkOc4q9oUmW1yo/edit?usp=sharing"",""กำแพงเพชร!I391"")"),0)</f>
        <v>0</v>
      </c>
      <c r="J496" s="434">
        <f ca="1">IFERROR(__xludf.DUMMYFUNCTION("IMPORTRANGE(""https://docs.google.com/spreadsheets/d/11923uPwbBZFjjGgGUA6NLw09EwE0CqkOc4q9oUmW1yo/edit?usp=sharing"",""กำแพงเพชร!J391"")"),0)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IFERROR(__xludf.DUMMYFUNCTION("IMPORTRANGE(""https://docs.google.com/spreadsheets/d/11923uPwbBZFjjGgGUA6NLw09EwE0CqkOc4q9oUmW1yo/edit?usp=sharing"",""กำแพงเพชร!I392"")"),6340)</f>
        <v>6340</v>
      </c>
      <c r="J497" s="441">
        <f ca="1">IFERROR(__xludf.DUMMYFUNCTION("IMPORTRANGE(""https://docs.google.com/spreadsheets/d/11923uPwbBZFjjGgGUA6NLw09EwE0CqkOc4q9oUmW1yo/edit?usp=sharing"",""กำแพงเพชร!J392"")"),0)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IFERROR(__xludf.DUMMYFUNCTION("IMPORTRANGE(""https://docs.google.com/spreadsheets/d/11923uPwbBZFjjGgGUA6NLw09EwE0CqkOc4q9oUmW1yo/edit?usp=sharing"",""กำแพงเพชร!I393"")"),6340)</f>
        <v>6340</v>
      </c>
      <c r="J498" s="418">
        <f ca="1">IFERROR(__xludf.DUMMYFUNCTION("IMPORTRANGE(""https://docs.google.com/spreadsheets/d/11923uPwbBZFjjGgGUA6NLw09EwE0CqkOc4q9oUmW1yo/edit?usp=sharing"",""กำแพงเพชร!J393"")"),0)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IFERROR(__xludf.DUMMYFUNCTION("IMPORTRANGE(""https://docs.google.com/spreadsheets/d/11923uPwbBZFjjGgGUA6NLw09EwE0CqkOc4q9oUmW1yo/edit?usp=sharing"",""กำแพงเพชร!I394"")"),600)</f>
        <v>600</v>
      </c>
      <c r="J499" s="418">
        <f ca="1">IFERROR(__xludf.DUMMYFUNCTION("IMPORTRANGE(""https://docs.google.com/spreadsheets/d/11923uPwbBZFjjGgGUA6NLw09EwE0CqkOc4q9oUmW1yo/edit?usp=sharing"",""กำแพงเพชร!J394"")"),0)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IFERROR(__xludf.DUMMYFUNCTION("IMPORTRANGE(""https://docs.google.com/spreadsheets/d/11923uPwbBZFjjGgGUA6NLw09EwE0CqkOc4q9oUmW1yo/edit?usp=sharing"",""กำแพงเพชร!I395"")"),0)</f>
        <v>0</v>
      </c>
      <c r="J500" s="162">
        <f ca="1">IFERROR(__xludf.DUMMYFUNCTION("IMPORTRANGE(""https://docs.google.com/spreadsheets/d/11923uPwbBZFjjGgGUA6NLw09EwE0CqkOc4q9oUmW1yo/edit?usp=sharing"",""กำแพงเพชร!J395"")"),0)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IFERROR(__xludf.DUMMYFUNCTION("IMPORTRANGE(""https://docs.google.com/spreadsheets/d/11923uPwbBZFjjGgGUA6NLw09EwE0CqkOc4q9oUmW1yo/edit?usp=sharing"",""กำแพงเพชร!I396"")"),0)</f>
        <v>0</v>
      </c>
      <c r="J501" s="162">
        <f ca="1">IFERROR(__xludf.DUMMYFUNCTION("IMPORTRANGE(""https://docs.google.com/spreadsheets/d/11923uPwbBZFjjGgGUA6NLw09EwE0CqkOc4q9oUmW1yo/edit?usp=sharing"",""กำแพงเพชร!J396"")"),0)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IFERROR(__xludf.DUMMYFUNCTION("IMPORTRANGE(""https://docs.google.com/spreadsheets/d/11923uPwbBZFjjGgGUA6NLw09EwE0CqkOc4q9oUmW1yo/edit?usp=sharing"",""กำแพงเพชร!I397"")"),0)</f>
        <v>0</v>
      </c>
      <c r="J502" s="188">
        <f ca="1">IFERROR(__xludf.DUMMYFUNCTION("IMPORTRANGE(""https://docs.google.com/spreadsheets/d/11923uPwbBZFjjGgGUA6NLw09EwE0CqkOc4q9oUmW1yo/edit?usp=sharing"",""กำแพงเพชร!J397"")"),0)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IFERROR(__xludf.DUMMYFUNCTION("IMPORTRANGE(""https://docs.google.com/spreadsheets/d/11923uPwbBZFjjGgGUA6NLw09EwE0CqkOc4q9oUmW1yo/edit?usp=sharing"",""กำแพงเพชร!I398"")"),0)</f>
        <v>0</v>
      </c>
      <c r="J503" s="197">
        <f ca="1">IFERROR(__xludf.DUMMYFUNCTION("IMPORTRANGE(""https://docs.google.com/spreadsheets/d/11923uPwbBZFjjGgGUA6NLw09EwE0CqkOc4q9oUmW1yo/edit?usp=sharing"",""กำแพงเพชร!J398"")"),0)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IFERROR(__xludf.DUMMYFUNCTION("IMPORTRANGE(""https://docs.google.com/spreadsheets/d/11923uPwbBZFjjGgGUA6NLw09EwE0CqkOc4q9oUmW1yo/edit?usp=sharing"",""กำแพงเพชร!I399"")"),0)</f>
        <v>0</v>
      </c>
      <c r="J504" s="188">
        <f ca="1">IFERROR(__xludf.DUMMYFUNCTION("IMPORTRANGE(""https://docs.google.com/spreadsheets/d/11923uPwbBZFjjGgGUA6NLw09EwE0CqkOc4q9oUmW1yo/edit?usp=sharing"",""กำแพงเพชร!J399"")"),0)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IFERROR(__xludf.DUMMYFUNCTION("IMPORTRANGE(""https://docs.google.com/spreadsheets/d/11923uPwbBZFjjGgGUA6NLw09EwE0CqkOc4q9oUmW1yo/edit?usp=sharing"",""กำแพงเพชร!I400"")"),0)</f>
        <v>0</v>
      </c>
      <c r="J505" s="197">
        <f ca="1">IFERROR(__xludf.DUMMYFUNCTION("IMPORTRANGE(""https://docs.google.com/spreadsheets/d/11923uPwbBZFjjGgGUA6NLw09EwE0CqkOc4q9oUmW1yo/edit?usp=sharing"",""กำแพงเพชร!J400"")"),0)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IFERROR(__xludf.DUMMYFUNCTION("IMPORTRANGE(""https://docs.google.com/spreadsheets/d/11923uPwbBZFjjGgGUA6NLw09EwE0CqkOc4q9oUmW1yo/edit?usp=sharing"",""กำแพงเพชร!I401"")"),0)</f>
        <v>0</v>
      </c>
      <c r="J506" s="188">
        <f ca="1">IFERROR(__xludf.DUMMYFUNCTION("IMPORTRANGE(""https://docs.google.com/spreadsheets/d/11923uPwbBZFjjGgGUA6NLw09EwE0CqkOc4q9oUmW1yo/edit?usp=sharing"",""กำแพงเพชร!J401"")"),0)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IFERROR(__xludf.DUMMYFUNCTION("IMPORTRANGE(""https://docs.google.com/spreadsheets/d/11923uPwbBZFjjGgGUA6NLw09EwE0CqkOc4q9oUmW1yo/edit?usp=sharing"",""กำแพงเพชร!I402"")"),0)</f>
        <v>0</v>
      </c>
      <c r="J507" s="197">
        <f ca="1">IFERROR(__xludf.DUMMYFUNCTION("IMPORTRANGE(""https://docs.google.com/spreadsheets/d/11923uPwbBZFjjGgGUA6NLw09EwE0CqkOc4q9oUmW1yo/edit?usp=sharing"",""กำแพงเพชร!J402"")"),0)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IFERROR(__xludf.DUMMYFUNCTION("IMPORTRANGE(""https://docs.google.com/spreadsheets/d/11923uPwbBZFjjGgGUA6NLw09EwE0CqkOc4q9oUmW1yo/edit?usp=sharing"",""กำแพงเพชร!I403"")"),0)</f>
        <v>0</v>
      </c>
      <c r="J508" s="162">
        <f ca="1">IFERROR(__xludf.DUMMYFUNCTION("IMPORTRANGE(""https://docs.google.com/spreadsheets/d/11923uPwbBZFjjGgGUA6NLw09EwE0CqkOc4q9oUmW1yo/edit?usp=sharing"",""กำแพงเพชร!J403"")"),0)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IFERROR(__xludf.DUMMYFUNCTION("IMPORTRANGE(""https://docs.google.com/spreadsheets/d/11923uPwbBZFjjGgGUA6NLw09EwE0CqkOc4q9oUmW1yo/edit?usp=sharing"",""กำแพงเพชร!I404"")"),0)</f>
        <v>0</v>
      </c>
      <c r="J509" s="162">
        <f ca="1">IFERROR(__xludf.DUMMYFUNCTION("IMPORTRANGE(""https://docs.google.com/spreadsheets/d/11923uPwbBZFjjGgGUA6NLw09EwE0CqkOc4q9oUmW1yo/edit?usp=sharing"",""กำแพงเพชร!J404"")"),0)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IFERROR(__xludf.DUMMYFUNCTION("IMPORTRANGE(""https://docs.google.com/spreadsheets/d/11923uPwbBZFjjGgGUA6NLw09EwE0CqkOc4q9oUmW1yo/edit?usp=sharing"",""กำแพงเพชร!I405"")"),0)</f>
        <v>0</v>
      </c>
      <c r="J510" s="197">
        <f ca="1">IFERROR(__xludf.DUMMYFUNCTION("IMPORTRANGE(""https://docs.google.com/spreadsheets/d/11923uPwbBZFjjGgGUA6NLw09EwE0CqkOc4q9oUmW1yo/edit?usp=sharing"",""กำแพงเพชร!J405"")"),0)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IFERROR(__xludf.DUMMYFUNCTION("IMPORTRANGE(""https://docs.google.com/spreadsheets/d/11923uPwbBZFjjGgGUA6NLw09EwE0CqkOc4q9oUmW1yo/edit?usp=sharing"",""กำแพงเพชร!I406"")"),0)</f>
        <v>0</v>
      </c>
      <c r="J511" s="197">
        <f ca="1">IFERROR(__xludf.DUMMYFUNCTION("IMPORTRANGE(""https://docs.google.com/spreadsheets/d/11923uPwbBZFjjGgGUA6NLw09EwE0CqkOc4q9oUmW1yo/edit?usp=sharing"",""กำแพงเพชร!J406"")"),0)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IFERROR(__xludf.DUMMYFUNCTION("IMPORTRANGE(""https://docs.google.com/spreadsheets/d/11923uPwbBZFjjGgGUA6NLw09EwE0CqkOc4q9oUmW1yo/edit?usp=sharing"",""กำแพงเพชร!I407"")"),0)</f>
        <v>0</v>
      </c>
      <c r="J512" s="197">
        <f ca="1">IFERROR(__xludf.DUMMYFUNCTION("IMPORTRANGE(""https://docs.google.com/spreadsheets/d/11923uPwbBZFjjGgGUA6NLw09EwE0CqkOc4q9oUmW1yo/edit?usp=sharing"",""กำแพงเพชร!J407"")"),0)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IFERROR(__xludf.DUMMYFUNCTION("IMPORTRANGE(""https://docs.google.com/spreadsheets/d/11923uPwbBZFjjGgGUA6NLw09EwE0CqkOc4q9oUmW1yo/edit?usp=sharing"",""กำแพงเพชร!I408"")"),0)</f>
        <v>0</v>
      </c>
      <c r="J513" s="197">
        <f ca="1">IFERROR(__xludf.DUMMYFUNCTION("IMPORTRANGE(""https://docs.google.com/spreadsheets/d/11923uPwbBZFjjGgGUA6NLw09EwE0CqkOc4q9oUmW1yo/edit?usp=sharing"",""กำแพงเพชร!J408"")"),0)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IFERROR(__xludf.DUMMYFUNCTION("IMPORTRANGE(""https://docs.google.com/spreadsheets/d/11923uPwbBZFjjGgGUA6NLw09EwE0CqkOc4q9oUmW1yo/edit?usp=sharing"",""กำแพงเพชร!I409"")"),0)</f>
        <v>0</v>
      </c>
      <c r="J514" s="197">
        <f ca="1">IFERROR(__xludf.DUMMYFUNCTION("IMPORTRANGE(""https://docs.google.com/spreadsheets/d/11923uPwbBZFjjGgGUA6NLw09EwE0CqkOc4q9oUmW1yo/edit?usp=sharing"",""กำแพงเพชร!J409"")"),0)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IFERROR(__xludf.DUMMYFUNCTION("IMPORTRANGE(""https://docs.google.com/spreadsheets/d/11923uPwbBZFjjGgGUA6NLw09EwE0CqkOc4q9oUmW1yo/edit?usp=sharing"",""กำแพงเพชร!I410"")"),0)</f>
        <v>0</v>
      </c>
      <c r="J515" s="197">
        <f ca="1">IFERROR(__xludf.DUMMYFUNCTION("IMPORTRANGE(""https://docs.google.com/spreadsheets/d/11923uPwbBZFjjGgGUA6NLw09EwE0CqkOc4q9oUmW1yo/edit?usp=sharing"",""กำแพงเพชร!J410"")"),0)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IFERROR(__xludf.DUMMYFUNCTION("IMPORTRANGE(""https://docs.google.com/spreadsheets/d/11923uPwbBZFjjGgGUA6NLw09EwE0CqkOc4q9oUmW1yo/edit?usp=sharing"",""กำแพงเพชร!I411"")"),0)</f>
        <v>0</v>
      </c>
      <c r="J516" s="266">
        <f ca="1">IFERROR(__xludf.DUMMYFUNCTION("IMPORTRANGE(""https://docs.google.com/spreadsheets/d/11923uPwbBZFjjGgGUA6NLw09EwE0CqkOc4q9oUmW1yo/edit?usp=sharing"",""กำแพงเพชร!J411"")"),0)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IFERROR(__xludf.DUMMYFUNCTION("IMPORTRANGE(""https://docs.google.com/spreadsheets/d/11923uPwbBZFjjGgGUA6NLw09EwE0CqkOc4q9oUmW1yo/edit?usp=sharing"",""กำแพงเพชร!I412"")"),0)</f>
        <v>0</v>
      </c>
      <c r="J517" s="282">
        <f ca="1">IFERROR(__xludf.DUMMYFUNCTION("IMPORTRANGE(""https://docs.google.com/spreadsheets/d/11923uPwbBZFjjGgGUA6NLw09EwE0CqkOc4q9oUmW1yo/edit?usp=sharing"",""กำแพงเพชร!J412"")"),0)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IFERROR(__xludf.DUMMYFUNCTION("IMPORTRANGE(""https://docs.google.com/spreadsheets/d/11923uPwbBZFjjGgGUA6NLw09EwE0CqkOc4q9oUmW1yo/edit?usp=sharing"",""กำแพงเพชร!I413"")"),0)</f>
        <v>0</v>
      </c>
      <c r="J518" s="282">
        <f ca="1">IFERROR(__xludf.DUMMYFUNCTION("IMPORTRANGE(""https://docs.google.com/spreadsheets/d/11923uPwbBZFjjGgGUA6NLw09EwE0CqkOc4q9oUmW1yo/edit?usp=sharing"",""กำแพงเพชร!J413"")"),0)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IFERROR(__xludf.DUMMYFUNCTION("IMPORTRANGE(""https://docs.google.com/spreadsheets/d/11923uPwbBZFjjGgGUA6NLw09EwE0CqkOc4q9oUmW1yo/edit?usp=sharing"",""กำแพงเพชร!I414"")"),0)</f>
        <v>0</v>
      </c>
      <c r="J519" s="187">
        <f ca="1">IFERROR(__xludf.DUMMYFUNCTION("IMPORTRANGE(""https://docs.google.com/spreadsheets/d/11923uPwbBZFjjGgGUA6NLw09EwE0CqkOc4q9oUmW1yo/edit?usp=sharing"",""กำแพงเพชร!J414"")"),0)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IFERROR(__xludf.DUMMYFUNCTION("IMPORTRANGE(""https://docs.google.com/spreadsheets/d/11923uPwbBZFjjGgGUA6NLw09EwE0CqkOc4q9oUmW1yo/edit?usp=sharing"",""กำแพงเพชร!I415"")"),0)</f>
        <v>0</v>
      </c>
      <c r="J520" s="187">
        <f ca="1">IFERROR(__xludf.DUMMYFUNCTION("IMPORTRANGE(""https://docs.google.com/spreadsheets/d/11923uPwbBZFjjGgGUA6NLw09EwE0CqkOc4q9oUmW1yo/edit?usp=sharing"",""กำแพงเพชร!J415"")"),0)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IFERROR(__xludf.DUMMYFUNCTION("IMPORTRANGE(""https://docs.google.com/spreadsheets/d/11923uPwbBZFjjGgGUA6NLw09EwE0CqkOc4q9oUmW1yo/edit?usp=sharing"",""กำแพงเพชร!I416"")"),0)</f>
        <v>0</v>
      </c>
      <c r="J521" s="187">
        <f ca="1">IFERROR(__xludf.DUMMYFUNCTION("IMPORTRANGE(""https://docs.google.com/spreadsheets/d/11923uPwbBZFjjGgGUA6NLw09EwE0CqkOc4q9oUmW1yo/edit?usp=sharing"",""กำแพงเพชร!J416"")"),0)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IFERROR(__xludf.DUMMYFUNCTION("IMPORTRANGE(""https://docs.google.com/spreadsheets/d/11923uPwbBZFjjGgGUA6NLw09EwE0CqkOc4q9oUmW1yo/edit?usp=sharing"",""กำแพงเพชร!I417"")"),0)</f>
        <v>0</v>
      </c>
      <c r="J522" s="187">
        <f ca="1">IFERROR(__xludf.DUMMYFUNCTION("IMPORTRANGE(""https://docs.google.com/spreadsheets/d/11923uPwbBZFjjGgGUA6NLw09EwE0CqkOc4q9oUmW1yo/edit?usp=sharing"",""กำแพงเพชร!J417"")"),0)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IFERROR(__xludf.DUMMYFUNCTION("IMPORTRANGE(""https://docs.google.com/spreadsheets/d/11923uPwbBZFjjGgGUA6NLw09EwE0CqkOc4q9oUmW1yo/edit?usp=sharing"",""กำแพงเพชร!I418"")"),0)</f>
        <v>0</v>
      </c>
      <c r="J523" s="187">
        <f ca="1">IFERROR(__xludf.DUMMYFUNCTION("IMPORTRANGE(""https://docs.google.com/spreadsheets/d/11923uPwbBZFjjGgGUA6NLw09EwE0CqkOc4q9oUmW1yo/edit?usp=sharing"",""กำแพงเพชร!J418"")"),2168)</f>
        <v>2168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IFERROR(__xludf.DUMMYFUNCTION("IMPORTRANGE(""https://docs.google.com/spreadsheets/d/11923uPwbBZFjjGgGUA6NLw09EwE0CqkOc4q9oUmW1yo/edit?usp=sharing"",""กำแพงเพชร!I419"")"),0)</f>
        <v>0</v>
      </c>
      <c r="J524" s="187">
        <f ca="1">IFERROR(__xludf.DUMMYFUNCTION("IMPORTRANGE(""https://docs.google.com/spreadsheets/d/11923uPwbBZFjjGgGUA6NLw09EwE0CqkOc4q9oUmW1yo/edit?usp=sharing"",""กำแพงเพชร!J419"")"),106)</f>
        <v>106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IFERROR(__xludf.DUMMYFUNCTION("IMPORTRANGE(""https://docs.google.com/spreadsheets/d/11923uPwbBZFjjGgGUA6NLw09EwE0CqkOc4q9oUmW1yo/edit?usp=sharing"",""กำแพงเพชร!I420"")"),2168)</f>
        <v>2168</v>
      </c>
      <c r="J525" s="282">
        <f ca="1">IFERROR(__xludf.DUMMYFUNCTION("IMPORTRANGE(""https://docs.google.com/spreadsheets/d/11923uPwbBZFjjGgGUA6NLw09EwE0CqkOc4q9oUmW1yo/edit?usp=sharing"",""กำแพงเพชร!J420"")"),0)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IFERROR(__xludf.DUMMYFUNCTION("IMPORTRANGE(""https://docs.google.com/spreadsheets/d/11923uPwbBZFjjGgGUA6NLw09EwE0CqkOc4q9oUmW1yo/edit?usp=sharing"",""กำแพงเพชร!I421"")"),106)</f>
        <v>106</v>
      </c>
      <c r="J526" s="282">
        <f ca="1">IFERROR(__xludf.DUMMYFUNCTION("IMPORTRANGE(""https://docs.google.com/spreadsheets/d/11923uPwbBZFjjGgGUA6NLw09EwE0CqkOc4q9oUmW1yo/edit?usp=sharing"",""กำแพงเพชร!J421"")"),0)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IFERROR(__xludf.DUMMYFUNCTION("IMPORTRANGE(""https://docs.google.com/spreadsheets/d/11923uPwbBZFjjGgGUA6NLw09EwE0CqkOc4q9oUmW1yo/edit?usp=sharing"",""กำแพงเพชร!I422"")"),0)</f>
        <v>0</v>
      </c>
      <c r="J527" s="197">
        <f ca="1">IFERROR(__xludf.DUMMYFUNCTION("IMPORTRANGE(""https://docs.google.com/spreadsheets/d/11923uPwbBZFjjGgGUA6NLw09EwE0CqkOc4q9oUmW1yo/edit?usp=sharing"",""กำแพงเพชร!J422"")"),0)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IFERROR(__xludf.DUMMYFUNCTION("IMPORTRANGE(""https://docs.google.com/spreadsheets/d/11923uPwbBZFjjGgGUA6NLw09EwE0CqkOc4q9oUmW1yo/edit?usp=sharing"",""กำแพงเพชร!I423"")"),0)</f>
        <v>0</v>
      </c>
      <c r="J528" s="197">
        <f ca="1">IFERROR(__xludf.DUMMYFUNCTION("IMPORTRANGE(""https://docs.google.com/spreadsheets/d/11923uPwbBZFjjGgGUA6NLw09EwE0CqkOc4q9oUmW1yo/edit?usp=sharing"",""กำแพงเพชร!J423"")"),0)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IFERROR(__xludf.DUMMYFUNCTION("IMPORTRANGE(""https://docs.google.com/spreadsheets/d/11923uPwbBZFjjGgGUA6NLw09EwE0CqkOc4q9oUmW1yo/edit?usp=sharing"",""กำแพงเพชร!I424"")"),0)</f>
        <v>0</v>
      </c>
      <c r="J529" s="197">
        <f ca="1">IFERROR(__xludf.DUMMYFUNCTION("IMPORTRANGE(""https://docs.google.com/spreadsheets/d/11923uPwbBZFjjGgGUA6NLw09EwE0CqkOc4q9oUmW1yo/edit?usp=sharing"",""กำแพงเพชร!J424"")"),0)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IFERROR(__xludf.DUMMYFUNCTION("IMPORTRANGE(""https://docs.google.com/spreadsheets/d/11923uPwbBZFjjGgGUA6NLw09EwE0CqkOc4q9oUmW1yo/edit?usp=sharing"",""กำแพงเพชร!I425"")"),0)</f>
        <v>0</v>
      </c>
      <c r="J530" s="197">
        <f ca="1">IFERROR(__xludf.DUMMYFUNCTION("IMPORTRANGE(""https://docs.google.com/spreadsheets/d/11923uPwbBZFjjGgGUA6NLw09EwE0CqkOc4q9oUmW1yo/edit?usp=sharing"",""กำแพงเพชร!J425"")"),0)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IFERROR(__xludf.DUMMYFUNCTION("IMPORTRANGE(""https://docs.google.com/spreadsheets/d/11923uPwbBZFjjGgGUA6NLw09EwE0CqkOc4q9oUmW1yo/edit?usp=sharing"",""กำแพงเพชร!I426"")"),0)</f>
        <v>0</v>
      </c>
      <c r="J531" s="197">
        <f ca="1">IFERROR(__xludf.DUMMYFUNCTION("IMPORTRANGE(""https://docs.google.com/spreadsheets/d/11923uPwbBZFjjGgGUA6NLw09EwE0CqkOc4q9oUmW1yo/edit?usp=sharing"",""กำแพงเพชร!J426"")"),0)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IFERROR(__xludf.DUMMYFUNCTION("IMPORTRANGE(""https://docs.google.com/spreadsheets/d/11923uPwbBZFjjGgGUA6NLw09EwE0CqkOc4q9oUmW1yo/edit?usp=sharing"",""กำแพงเพชร!I427"")"),0)</f>
        <v>0</v>
      </c>
      <c r="J532" s="464">
        <f ca="1">IFERROR(__xludf.DUMMYFUNCTION("IMPORTRANGE(""https://docs.google.com/spreadsheets/d/11923uPwbBZFjjGgGUA6NLw09EwE0CqkOc4q9oUmW1yo/edit?usp=sharing"",""กำแพงเพชร!J427"")"),0)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IFERROR(__xludf.DUMMYFUNCTION("IMPORTRANGE(""https://docs.google.com/spreadsheets/d/11923uPwbBZFjjGgGUA6NLw09EwE0CqkOc4q9oUmW1yo/edit?usp=sharing"",""กำแพงเพชร!I428"")"),22)</f>
        <v>22</v>
      </c>
      <c r="J533" s="408">
        <f ca="1">IFERROR(__xludf.DUMMYFUNCTION("IMPORTRANGE(""https://docs.google.com/spreadsheets/d/11923uPwbBZFjjGgGUA6NLw09EwE0CqkOc4q9oUmW1yo/edit?usp=sharing"",""กำแพงเพชร!J428"")"),22)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IFERROR(__xludf.DUMMYFUNCTION("IMPORTRANGE(""https://docs.google.com/spreadsheets/d/11923uPwbBZFjjGgGUA6NLw09EwE0CqkOc4q9oUmW1yo/edit?usp=sharing"",""กำแพงเพชร!L428"")"),34350)</f>
        <v>34350</v>
      </c>
      <c r="M533" s="410"/>
      <c r="N533" s="410">
        <f ca="1">IFERROR(__xludf.DUMMYFUNCTION("IMPORTRANGE(""https://docs.google.com/spreadsheets/d/11923uPwbBZFjjGgGUA6NLw09EwE0CqkOc4q9oUmW1yo/edit?usp=sharing"",""กำแพงเพชร!M428"")"),29825)</f>
        <v>29825</v>
      </c>
      <c r="O533" s="410">
        <f t="shared" ref="O533:O537" ca="1" si="118">+IF(L533&gt;0,N533*100/L533,0)</f>
        <v>86.826783114992722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IFERROR(__xludf.DUMMYFUNCTION("IMPORTRANGE(""https://docs.google.com/spreadsheets/d/11923uPwbBZFjjGgGUA6NLw09EwE0CqkOc4q9oUmW1yo/edit?usp=sharing"",""กำแพงเพชร!L429"")"),0)</f>
        <v>0</v>
      </c>
      <c r="M534" s="164"/>
      <c r="N534" s="168">
        <f ca="1">IFERROR(__xludf.DUMMYFUNCTION("IMPORTRANGE(""https://docs.google.com/spreadsheets/d/11923uPwbBZFjjGgGUA6NLw09EwE0CqkOc4q9oUmW1yo/edit?usp=sharing"",""กำแพงเพชร!M429"")"),0)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IFERROR(__xludf.DUMMYFUNCTION("IMPORTRANGE(""https://docs.google.com/spreadsheets/d/11923uPwbBZFjjGgGUA6NLw09EwE0CqkOc4q9oUmW1yo/edit?usp=sharing"",""กำแพงเพชร!L430"")"),34350)</f>
        <v>34350</v>
      </c>
      <c r="M535" s="165"/>
      <c r="N535" s="168">
        <f ca="1">IFERROR(__xludf.DUMMYFUNCTION("IMPORTRANGE(""https://docs.google.com/spreadsheets/d/11923uPwbBZFjjGgGUA6NLw09EwE0CqkOc4q9oUmW1yo/edit?usp=sharing"",""กำแพงเพชร!M430"")"),29825)</f>
        <v>29825</v>
      </c>
      <c r="O535" s="168">
        <f t="shared" ca="1" si="118"/>
        <v>86.826783114992722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IFERROR(__xludf.DUMMYFUNCTION("IMPORTRANGE(""https://docs.google.com/spreadsheets/d/11923uPwbBZFjjGgGUA6NLw09EwE0CqkOc4q9oUmW1yo/edit?usp=sharing"",""กำแพงเพชร!L431"")"),0)</f>
        <v>0</v>
      </c>
      <c r="M536" s="168"/>
      <c r="N536" s="168">
        <f ca="1">IFERROR(__xludf.DUMMYFUNCTION("IMPORTRANGE(""https://docs.google.com/spreadsheets/d/11923uPwbBZFjjGgGUA6NLw09EwE0CqkOc4q9oUmW1yo/edit?usp=sharing"",""กำแพงเพชร!M431"")"),0)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IFERROR(__xludf.DUMMYFUNCTION("IMPORTRANGE(""https://docs.google.com/spreadsheets/d/11923uPwbBZFjjGgGUA6NLw09EwE0CqkOc4q9oUmW1yo/edit?usp=sharing"",""กำแพงเพชร!L432"")"),34350)</f>
        <v>34350</v>
      </c>
      <c r="M537" s="168"/>
      <c r="N537" s="168">
        <f ca="1">IFERROR(__xludf.DUMMYFUNCTION("IMPORTRANGE(""https://docs.google.com/spreadsheets/d/11923uPwbBZFjjGgGUA6NLw09EwE0CqkOc4q9oUmW1yo/edit?usp=sharing"",""กำแพงเพชร!M432"")"),29825)</f>
        <v>29825</v>
      </c>
      <c r="O537" s="168">
        <f t="shared" ca="1" si="118"/>
        <v>86.826783114992722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IFERROR(__xludf.DUMMYFUNCTION("IMPORTRANGE(""https://docs.google.com/spreadsheets/d/11923uPwbBZFjjGgGUA6NLw09EwE0CqkOc4q9oUmW1yo/edit?usp=sharing"",""กำแพงเพชร!M433"")"),20160)</f>
        <v>20160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IFERROR(__xludf.DUMMYFUNCTION("IMPORTRANGE(""https://docs.google.com/spreadsheets/d/11923uPwbBZFjjGgGUA6NLw09EwE0CqkOc4q9oUmW1yo/edit?usp=sharing"",""กำแพงเพชร!M434"")"),0)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IFERROR(__xludf.DUMMYFUNCTION("IMPORTRANGE(""https://docs.google.com/spreadsheets/d/11923uPwbBZFjjGgGUA6NLw09EwE0CqkOc4q9oUmW1yo/edit?usp=sharing"",""กำแพงเพชร!M435"")"),0)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IFERROR(__xludf.DUMMYFUNCTION("IMPORTRANGE(""https://docs.google.com/spreadsheets/d/11923uPwbBZFjjGgGUA6NLw09EwE0CqkOc4q9oUmW1yo/edit?usp=sharing"",""กำแพงเพชร!M436"")"),9665)</f>
        <v>9665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IFERROR(__xludf.DUMMYFUNCTION("IMPORTRANGE(""https://docs.google.com/spreadsheets/d/11923uPwbBZFjjGgGUA6NLw09EwE0CqkOc4q9oUmW1yo/edit?usp=sharing"",""กำแพงเพชร!J438"")"),0)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IFERROR(__xludf.DUMMYFUNCTION("IMPORTRANGE(""https://docs.google.com/spreadsheets/d/11923uPwbBZFjjGgGUA6NLw09EwE0CqkOc4q9oUmW1yo/edit?usp=sharing"",""กำแพงเพชร!J439"")"),1)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IFERROR(__xludf.DUMMYFUNCTION("IMPORTRANGE(""https://docs.google.com/spreadsheets/d/11923uPwbBZFjjGgGUA6NLw09EwE0CqkOc4q9oUmW1yo/edit?usp=sharing"",""กำแพงเพชร!J440"")"),1)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IFERROR(__xludf.DUMMYFUNCTION("IMPORTRANGE(""https://docs.google.com/spreadsheets/d/11923uPwbBZFjjGgGUA6NLw09EwE0CqkOc4q9oUmW1yo/edit?usp=sharing"",""กำแพงเพชร!J441"")"),1)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IFERROR(__xludf.DUMMYFUNCTION("IMPORTRANGE(""https://docs.google.com/spreadsheets/d/11923uPwbBZFjjGgGUA6NLw09EwE0CqkOc4q9oUmW1yo/edit?usp=sharing"",""กำแพงเพชร!I442"")"),22)</f>
        <v>22</v>
      </c>
      <c r="J547" s="188">
        <f ca="1">IFERROR(__xludf.DUMMYFUNCTION("IMPORTRANGE(""https://docs.google.com/spreadsheets/d/11923uPwbBZFjjGgGUA6NLw09EwE0CqkOc4q9oUmW1yo/edit?usp=sharing"",""กำแพงเพชร!J442"")"),22)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IFERROR(__xludf.DUMMYFUNCTION("IMPORTRANGE(""https://docs.google.com/spreadsheets/d/11923uPwbBZFjjGgGUA6NLw09EwE0CqkOc4q9oUmW1yo/edit?usp=sharing"",""กำแพงเพชร!J166"")"),0)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IFERROR(__xludf.DUMMYFUNCTION("IMPORTRANGE(""https://docs.google.com/spreadsheets/d/11923uPwbBZFjjGgGUA6NLw09EwE0CqkOc4q9oUmW1yo/edit?usp=sharing"",""กำแพงเพชร!J444"")"),0)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IFERROR(__xludf.DUMMYFUNCTION("IMPORTRANGE(""https://docs.google.com/spreadsheets/d/11923uPwbBZFjjGgGUA6NLw09EwE0CqkOc4q9oUmW1yo/edit?usp=sharing"",""กำแพงเพชร!J445"")"),0)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IFERROR(__xludf.DUMMYFUNCTION("IMPORTRANGE(""https://docs.google.com/spreadsheets/d/11923uPwbBZFjjGgGUA6NLw09EwE0CqkOc4q9oUmW1yo/edit?usp=sharing"",""กำแพงเพชร!I446"")"),5000)</f>
        <v>5000</v>
      </c>
      <c r="J551" s="408">
        <f ca="1">IFERROR(__xludf.DUMMYFUNCTION("IMPORTRANGE(""https://docs.google.com/spreadsheets/d/11923uPwbBZFjjGgGUA6NLw09EwE0CqkOc4q9oUmW1yo/edit?usp=sharing"",""กำแพงเพชร!J446"")"),669)</f>
        <v>669</v>
      </c>
      <c r="K551" s="409">
        <f ca="1">IF(I551&gt;0,J551*100/I551,0)</f>
        <v>13.38</v>
      </c>
      <c r="L551" s="410">
        <f ca="1">IFERROR(__xludf.DUMMYFUNCTION("IMPORTRANGE(""https://docs.google.com/spreadsheets/d/11923uPwbBZFjjGgGUA6NLw09EwE0CqkOc4q9oUmW1yo/edit?usp=sharing"",""กำแพงเพชร!L446"")"),320000)</f>
        <v>320000</v>
      </c>
      <c r="M551" s="410"/>
      <c r="N551" s="410">
        <f ca="1">IFERROR(__xludf.DUMMYFUNCTION("IMPORTRANGE(""https://docs.google.com/spreadsheets/d/11923uPwbBZFjjGgGUA6NLw09EwE0CqkOc4q9oUmW1yo/edit?usp=sharing"",""กำแพงเพชร!M446"")"),0)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IFERROR(__xludf.DUMMYFUNCTION("IMPORTRANGE(""https://docs.google.com/spreadsheets/d/11923uPwbBZFjjGgGUA6NLw09EwE0CqkOc4q9oUmW1yo/edit?usp=sharing"",""กำแพงเพชร!L447"")"),0)</f>
        <v>0</v>
      </c>
      <c r="M552" s="164"/>
      <c r="N552" s="168">
        <f ca="1">IFERROR(__xludf.DUMMYFUNCTION("IMPORTRANGE(""https://docs.google.com/spreadsheets/d/11923uPwbBZFjjGgGUA6NLw09EwE0CqkOc4q9oUmW1yo/edit?usp=sharing"",""กำแพงเพชร!M447"")"),0)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IFERROR(__xludf.DUMMYFUNCTION("IMPORTRANGE(""https://docs.google.com/spreadsheets/d/11923uPwbBZFjjGgGUA6NLw09EwE0CqkOc4q9oUmW1yo/edit?usp=sharing"",""กำแพงเพชร!L448"")"),320000)</f>
        <v>320000</v>
      </c>
      <c r="M553" s="165"/>
      <c r="N553" s="168">
        <f ca="1">IFERROR(__xludf.DUMMYFUNCTION("IMPORTRANGE(""https://docs.google.com/spreadsheets/d/11923uPwbBZFjjGgGUA6NLw09EwE0CqkOc4q9oUmW1yo/edit?usp=sharing"",""กำแพงเพชร!M448"")"),0)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IFERROR(__xludf.DUMMYFUNCTION("IMPORTRANGE(""https://docs.google.com/spreadsheets/d/11923uPwbBZFjjGgGUA6NLw09EwE0CqkOc4q9oUmW1yo/edit?usp=sharing"",""กำแพงเพชร!L449"")"),0)</f>
        <v>0</v>
      </c>
      <c r="M554" s="168"/>
      <c r="N554" s="168">
        <f ca="1">IFERROR(__xludf.DUMMYFUNCTION("IMPORTRANGE(""https://docs.google.com/spreadsheets/d/11923uPwbBZFjjGgGUA6NLw09EwE0CqkOc4q9oUmW1yo/edit?usp=sharing"",""กำแพงเพชร!M449"")"),0)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IFERROR(__xludf.DUMMYFUNCTION("IMPORTRANGE(""https://docs.google.com/spreadsheets/d/11923uPwbBZFjjGgGUA6NLw09EwE0CqkOc4q9oUmW1yo/edit?usp=sharing"",""กำแพงเพชร!L450"")"),320000)</f>
        <v>320000</v>
      </c>
      <c r="M555" s="168"/>
      <c r="N555" s="168">
        <f ca="1">IFERROR(__xludf.DUMMYFUNCTION("IMPORTRANGE(""https://docs.google.com/spreadsheets/d/11923uPwbBZFjjGgGUA6NLw09EwE0CqkOc4q9oUmW1yo/edit?usp=sharing"",""กำแพงเพชร!M450"")"),0)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IFERROR(__xludf.DUMMYFUNCTION("IMPORTRANGE(""https://docs.google.com/spreadsheets/d/11923uPwbBZFjjGgGUA6NLw09EwE0CqkOc4q9oUmW1yo/edit?usp=sharing"",""กำแพงเพชร!M451"")"),0)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IFERROR(__xludf.DUMMYFUNCTION("IMPORTRANGE(""https://docs.google.com/spreadsheets/d/11923uPwbBZFjjGgGUA6NLw09EwE0CqkOc4q9oUmW1yo/edit?usp=sharing"",""กำแพงเพชร!M452"")"),0)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IFERROR(__xludf.DUMMYFUNCTION("IMPORTRANGE(""https://docs.google.com/spreadsheets/d/11923uPwbBZFjjGgGUA6NLw09EwE0CqkOc4q9oUmW1yo/edit?usp=sharing"",""กำแพงเพชร!M453"")"),0)</f>
        <v>0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IFERROR(__xludf.DUMMYFUNCTION("IMPORTRANGE(""https://docs.google.com/spreadsheets/d/11923uPwbBZFjjGgGUA6NLw09EwE0CqkOc4q9oUmW1yo/edit?usp=sharing"",""กำแพงเพชร!M454"")"),0)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IFERROR(__xludf.DUMMYFUNCTION("IMPORTRANGE(""https://docs.google.com/spreadsheets/d/11923uPwbBZFjjGgGUA6NLw09EwE0CqkOc4q9oUmW1yo/edit?usp=sharing"",""กำแพงเพชร!I455"")"),5000)</f>
        <v>5000</v>
      </c>
      <c r="J560" s="162">
        <f ca="1">IFERROR(__xludf.DUMMYFUNCTION("IMPORTRANGE(""https://docs.google.com/spreadsheets/d/11923uPwbBZFjjGgGUA6NLw09EwE0CqkOc4q9oUmW1yo/edit?usp=sharing"",""กำแพงเพชร!J455"")"),669)</f>
        <v>669</v>
      </c>
      <c r="K560" s="223">
        <f t="shared" ref="K560:K564" ca="1" si="121">IF(I560&gt;0,J560*100/I560,0)</f>
        <v>13.38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IFERROR(__xludf.DUMMYFUNCTION("IMPORTRANGE(""https://docs.google.com/spreadsheets/d/11923uPwbBZFjjGgGUA6NLw09EwE0CqkOc4q9oUmW1yo/edit?usp=sharing"",""กำแพงเพชร!I456"")"),0)</f>
        <v>0</v>
      </c>
      <c r="J561" s="203">
        <f ca="1">IFERROR(__xludf.DUMMYFUNCTION("IMPORTRANGE(""https://docs.google.com/spreadsheets/d/11923uPwbBZFjjGgGUA6NLw09EwE0CqkOc4q9oUmW1yo/edit?usp=sharing"",""กำแพงเพชร!J456"")"),39)</f>
        <v>39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f ca="1">IFERROR(__xludf.DUMMYFUNCTION("IMPORTRANGE(""https://docs.google.com/spreadsheets/d/11923uPwbBZFjjGgGUA6NLw09EwE0CqkOc4q9oUmW1yo/edit?usp=sharing"",""กำแพงเพชร!I457"")"),0)</f>
        <v>0</v>
      </c>
      <c r="J562" s="203" t="str">
        <f ca="1">IFERROR(__xludf.DUMMYFUNCTION("IMPORTRANGE(""https://docs.google.com/spreadsheets/d/11923uPwbBZFjjGgGUA6NLw09EwE0CqkOc4q9oUmW1yo/edit?usp=sharing"",""กำแพงเพชร!J457"")"),"")</f>
        <v/>
      </c>
      <c r="K562" s="163">
        <f t="shared" ca="1" si="121"/>
        <v>0</v>
      </c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f ca="1">IFERROR(__xludf.DUMMYFUNCTION("IMPORTRANGE(""https://docs.google.com/spreadsheets/d/11923uPwbBZFjjGgGUA6NLw09EwE0CqkOc4q9oUmW1yo/edit?usp=sharing"",""กำแพงเพชร!I458"")"),0)</f>
        <v>0</v>
      </c>
      <c r="J563" s="187" t="str">
        <f ca="1">IFERROR(__xludf.DUMMYFUNCTION("IMPORTRANGE(""https://docs.google.com/spreadsheets/d/11923uPwbBZFjjGgGUA6NLw09EwE0CqkOc4q9oUmW1yo/edit?usp=sharing"",""กำแพงเพชร!J458"")"),"")</f>
        <v/>
      </c>
      <c r="K563" s="163">
        <f t="shared" ca="1" si="121"/>
        <v>0</v>
      </c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IFERROR(__xludf.DUMMYFUNCTION("IMPORTRANGE(""https://docs.google.com/spreadsheets/d/11923uPwbBZFjjGgGUA6NLw09EwE0CqkOc4q9oUmW1yo/edit?usp=sharing"",""กำแพงเพชร!I459"")"),4900)</f>
        <v>4900</v>
      </c>
      <c r="J564" s="369">
        <f ca="1">IFERROR(__xludf.DUMMYFUNCTION("IMPORTRANGE(""https://docs.google.com/spreadsheets/d/11923uPwbBZFjjGgGUA6NLw09EwE0CqkOc4q9oUmW1yo/edit?usp=sharing"",""กำแพงเพชร!J459"")"),2270)</f>
        <v>2270</v>
      </c>
      <c r="K564" s="370">
        <f t="shared" ca="1" si="121"/>
        <v>46.326530612244895</v>
      </c>
      <c r="L564" s="371">
        <f ca="1">IFERROR(__xludf.DUMMYFUNCTION("IMPORTRANGE(""https://docs.google.com/spreadsheets/d/11923uPwbBZFjjGgGUA6NLw09EwE0CqkOc4q9oUmW1yo/edit?usp=sharing"",""กำแพงเพชร!L459"")"),168000)</f>
        <v>168000</v>
      </c>
      <c r="M564" s="371"/>
      <c r="N564" s="371">
        <f ca="1">IFERROR(__xludf.DUMMYFUNCTION("IMPORTRANGE(""https://docs.google.com/spreadsheets/d/11923uPwbBZFjjGgGUA6NLw09EwE0CqkOc4q9oUmW1yo/edit?usp=sharing"",""กำแพงเพชร!M459"")"),0)</f>
        <v>0</v>
      </c>
      <c r="O564" s="371">
        <f t="shared" ref="O564:O568" ca="1" si="122">+IF(L564&gt;0,N564*100/L564,0)</f>
        <v>0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IFERROR(__xludf.DUMMYFUNCTION("IMPORTRANGE(""https://docs.google.com/spreadsheets/d/11923uPwbBZFjjGgGUA6NLw09EwE0CqkOc4q9oUmW1yo/edit?usp=sharing"",""กำแพงเพชร!L460"")"),0)</f>
        <v>0</v>
      </c>
      <c r="M565" s="164"/>
      <c r="N565" s="168">
        <f ca="1">IFERROR(__xludf.DUMMYFUNCTION("IMPORTRANGE(""https://docs.google.com/spreadsheets/d/11923uPwbBZFjjGgGUA6NLw09EwE0CqkOc4q9oUmW1yo/edit?usp=sharing"",""กำแพงเพชร!M460"")"),0)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IFERROR(__xludf.DUMMYFUNCTION("IMPORTRANGE(""https://docs.google.com/spreadsheets/d/11923uPwbBZFjjGgGUA6NLw09EwE0CqkOc4q9oUmW1yo/edit?usp=sharing"",""กำแพงเพชร!L461"")"),168000)</f>
        <v>168000</v>
      </c>
      <c r="M566" s="165"/>
      <c r="N566" s="168">
        <f ca="1">IFERROR(__xludf.DUMMYFUNCTION("IMPORTRANGE(""https://docs.google.com/spreadsheets/d/11923uPwbBZFjjGgGUA6NLw09EwE0CqkOc4q9oUmW1yo/edit?usp=sharing"",""กำแพงเพชร!M461"")"),0)</f>
        <v>0</v>
      </c>
      <c r="O566" s="168">
        <f t="shared" ca="1" si="122"/>
        <v>0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IFERROR(__xludf.DUMMYFUNCTION("IMPORTRANGE(""https://docs.google.com/spreadsheets/d/11923uPwbBZFjjGgGUA6NLw09EwE0CqkOc4q9oUmW1yo/edit?usp=sharing"",""กำแพงเพชร!L462"")"),0)</f>
        <v>0</v>
      </c>
      <c r="M567" s="168"/>
      <c r="N567" s="168">
        <f ca="1">IFERROR(__xludf.DUMMYFUNCTION("IMPORTRANGE(""https://docs.google.com/spreadsheets/d/11923uPwbBZFjjGgGUA6NLw09EwE0CqkOc4q9oUmW1yo/edit?usp=sharing"",""กำแพงเพชร!M462"")"),0)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IFERROR(__xludf.DUMMYFUNCTION("IMPORTRANGE(""https://docs.google.com/spreadsheets/d/11923uPwbBZFjjGgGUA6NLw09EwE0CqkOc4q9oUmW1yo/edit?usp=sharing"",""กำแพงเพชร!L463"")"),168000)</f>
        <v>168000</v>
      </c>
      <c r="M568" s="168"/>
      <c r="N568" s="168">
        <f ca="1">IFERROR(__xludf.DUMMYFUNCTION("IMPORTRANGE(""https://docs.google.com/spreadsheets/d/11923uPwbBZFjjGgGUA6NLw09EwE0CqkOc4q9oUmW1yo/edit?usp=sharing"",""กำแพงเพชร!M463"")"),0)</f>
        <v>0</v>
      </c>
      <c r="O568" s="168">
        <f t="shared" ca="1" si="122"/>
        <v>0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IFERROR(__xludf.DUMMYFUNCTION("IMPORTRANGE(""https://docs.google.com/spreadsheets/d/11923uPwbBZFjjGgGUA6NLw09EwE0CqkOc4q9oUmW1yo/edit?usp=sharing"",""กำแพงเพชร!M464"")"),0)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IFERROR(__xludf.DUMMYFUNCTION("IMPORTRANGE(""https://docs.google.com/spreadsheets/d/11923uPwbBZFjjGgGUA6NLw09EwE0CqkOc4q9oUmW1yo/edit?usp=sharing"",""กำแพงเพชร!M465"")"),0)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IFERROR(__xludf.DUMMYFUNCTION("IMPORTRANGE(""https://docs.google.com/spreadsheets/d/11923uPwbBZFjjGgGUA6NLw09EwE0CqkOc4q9oUmW1yo/edit?usp=sharing"",""กำแพงเพชร!M466"")"),0)</f>
        <v>0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IFERROR(__xludf.DUMMYFUNCTION("IMPORTRANGE(""https://docs.google.com/spreadsheets/d/11923uPwbBZFjjGgGUA6NLw09EwE0CqkOc4q9oUmW1yo/edit?usp=sharing"",""กำแพงเพชร!M467"")"),0)</f>
        <v>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IFERROR(__xludf.DUMMYFUNCTION("IMPORTRANGE(""https://docs.google.com/spreadsheets/d/11923uPwbBZFjjGgGUA6NLw09EwE0CqkOc4q9oUmW1yo/edit?usp=sharing"",""กำแพงเพชร!I468"")"),4900)</f>
        <v>4900</v>
      </c>
      <c r="J573" s="418">
        <f ca="1">IFERROR(__xludf.DUMMYFUNCTION("IMPORTRANGE(""https://docs.google.com/spreadsheets/d/11923uPwbBZFjjGgGUA6NLw09EwE0CqkOc4q9oUmW1yo/edit?usp=sharing"",""กำแพงเพชร!J468"")"),2270)</f>
        <v>2270</v>
      </c>
      <c r="K573" s="201">
        <f ca="1">IF(I573&gt;0,J573*100/I573,0)</f>
        <v>46.326530612244895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IFERROR(__xludf.DUMMYFUNCTION("IMPORTRANGE(""https://docs.google.com/spreadsheets/d/11923uPwbBZFjjGgGUA6NLw09EwE0CqkOc4q9oUmW1yo/edit?usp=sharing"",""กำแพงเพชร!I470"")"),0)</f>
        <v>0</v>
      </c>
      <c r="J575" s="197">
        <f ca="1">IFERROR(__xludf.DUMMYFUNCTION("IMPORTRANGE(""https://docs.google.com/spreadsheets/d/11923uPwbBZFjjGgGUA6NLw09EwE0CqkOc4q9oUmW1yo/edit?usp=sharing"",""กำแพงเพชร!J470"")"),0)</f>
        <v>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IFERROR(__xludf.DUMMYFUNCTION("IMPORTRANGE(""https://docs.google.com/spreadsheets/d/11923uPwbBZFjjGgGUA6NLw09EwE0CqkOc4q9oUmW1yo/edit?usp=sharing"",""กำแพงเพชร!I471"")"),0)</f>
        <v>0</v>
      </c>
      <c r="J576" s="197">
        <f ca="1">IFERROR(__xludf.DUMMYFUNCTION("IMPORTRANGE(""https://docs.google.com/spreadsheets/d/11923uPwbBZFjjGgGUA6NLw09EwE0CqkOc4q9oUmW1yo/edit?usp=sharing"",""กำแพงเพชร!J471"")"),0)</f>
        <v>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IFERROR(__xludf.DUMMYFUNCTION("IMPORTRANGE(""https://docs.google.com/spreadsheets/d/11923uPwbBZFjjGgGUA6NLw09EwE0CqkOc4q9oUmW1yo/edit?usp=sharing"",""กำแพงเพชร!I472"")"),0)</f>
        <v>0</v>
      </c>
      <c r="J577" s="188">
        <f ca="1">IFERROR(__xludf.DUMMYFUNCTION("IMPORTRANGE(""https://docs.google.com/spreadsheets/d/11923uPwbBZFjjGgGUA6NLw09EwE0CqkOc4q9oUmW1yo/edit?usp=sharing"",""กำแพงเพชร!J472"")"),2270)</f>
        <v>2270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IFERROR(__xludf.DUMMYFUNCTION("IMPORTRANGE(""https://docs.google.com/spreadsheets/d/11923uPwbBZFjjGgGUA6NLw09EwE0CqkOc4q9oUmW1yo/edit?usp=sharing"",""กำแพงเพชร!I473"")"),0)</f>
        <v>0</v>
      </c>
      <c r="J578" s="197">
        <f ca="1">IFERROR(__xludf.DUMMYFUNCTION("IMPORTRANGE(""https://docs.google.com/spreadsheets/d/11923uPwbBZFjjGgGUA6NLw09EwE0CqkOc4q9oUmW1yo/edit?usp=sharing"",""กำแพงเพชร!J473"")"),0)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IFERROR(__xludf.DUMMYFUNCTION("IMPORTRANGE(""https://docs.google.com/spreadsheets/d/11923uPwbBZFjjGgGUA6NLw09EwE0CqkOc4q9oUmW1yo/edit?usp=sharing"",""กำแพงเพชร!I474"")"),0)</f>
        <v>0</v>
      </c>
      <c r="J579" s="197">
        <f ca="1">IFERROR(__xludf.DUMMYFUNCTION("IMPORTRANGE(""https://docs.google.com/spreadsheets/d/11923uPwbBZFjjGgGUA6NLw09EwE0CqkOc4q9oUmW1yo/edit?usp=sharing"",""กำแพงเพชร!J474"")"),0)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IFERROR(__xludf.DUMMYFUNCTION("IMPORTRANGE(""https://docs.google.com/spreadsheets/d/11923uPwbBZFjjGgGUA6NLw09EwE0CqkOc4q9oUmW1yo/edit?usp=sharing"",""กำแพงเพชร!I475"")"),500)</f>
        <v>500</v>
      </c>
      <c r="J580" s="369">
        <f ca="1">IFERROR(__xludf.DUMMYFUNCTION("IMPORTRANGE(""https://docs.google.com/spreadsheets/d/11923uPwbBZFjjGgGUA6NLw09EwE0CqkOc4q9oUmW1yo/edit?usp=sharing"",""กำแพงเพชร!J475"")"),0)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IFERROR(__xludf.DUMMYFUNCTION("IMPORTRANGE(""https://docs.google.com/spreadsheets/d/11923uPwbBZFjjGgGUA6NLw09EwE0CqkOc4q9oUmW1yo/edit?usp=sharing"",""กำแพงเพชร!L475"")"),395350)</f>
        <v>395350</v>
      </c>
      <c r="M580" s="371"/>
      <c r="N580" s="371">
        <f ca="1">IFERROR(__xludf.DUMMYFUNCTION("IMPORTRANGE(""https://docs.google.com/spreadsheets/d/11923uPwbBZFjjGgGUA6NLw09EwE0CqkOc4q9oUmW1yo/edit?usp=sharing"",""กำแพงเพชร!M475"")"),0)</f>
        <v>0</v>
      </c>
      <c r="O580" s="371">
        <f t="shared" ref="O580:O584" ca="1" si="124">+IF(L580&gt;0,N580*100/L580,0)</f>
        <v>0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IFERROR(__xludf.DUMMYFUNCTION("IMPORTRANGE(""https://docs.google.com/spreadsheets/d/11923uPwbBZFjjGgGUA6NLw09EwE0CqkOc4q9oUmW1yo/edit?usp=sharing"",""กำแพงเพชร!L476"")"),0)</f>
        <v>0</v>
      </c>
      <c r="M581" s="164"/>
      <c r="N581" s="168">
        <f ca="1">IFERROR(__xludf.DUMMYFUNCTION("IMPORTRANGE(""https://docs.google.com/spreadsheets/d/11923uPwbBZFjjGgGUA6NLw09EwE0CqkOc4q9oUmW1yo/edit?usp=sharing"",""กำแพงเพชร!M476"")"),0)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IFERROR(__xludf.DUMMYFUNCTION("IMPORTRANGE(""https://docs.google.com/spreadsheets/d/11923uPwbBZFjjGgGUA6NLw09EwE0CqkOc4q9oUmW1yo/edit?usp=sharing"",""กำแพงเพชร!L477"")"),395350)</f>
        <v>395350</v>
      </c>
      <c r="M582" s="165"/>
      <c r="N582" s="168">
        <f ca="1">IFERROR(__xludf.DUMMYFUNCTION("IMPORTRANGE(""https://docs.google.com/spreadsheets/d/11923uPwbBZFjjGgGUA6NLw09EwE0CqkOc4q9oUmW1yo/edit?usp=sharing"",""กำแพงเพชร!M477"")"),0)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IFERROR(__xludf.DUMMYFUNCTION("IMPORTRANGE(""https://docs.google.com/spreadsheets/d/11923uPwbBZFjjGgGUA6NLw09EwE0CqkOc4q9oUmW1yo/edit?usp=sharing"",""กำแพงเพชร!L478"")"),0)</f>
        <v>0</v>
      </c>
      <c r="M583" s="168"/>
      <c r="N583" s="168">
        <f ca="1">IFERROR(__xludf.DUMMYFUNCTION("IMPORTRANGE(""https://docs.google.com/spreadsheets/d/11923uPwbBZFjjGgGUA6NLw09EwE0CqkOc4q9oUmW1yo/edit?usp=sharing"",""กำแพงเพชร!M478"")"),0)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IFERROR(__xludf.DUMMYFUNCTION("IMPORTRANGE(""https://docs.google.com/spreadsheets/d/11923uPwbBZFjjGgGUA6NLw09EwE0CqkOc4q9oUmW1yo/edit?usp=sharing"",""กำแพงเพชร!L479"")"),395350)</f>
        <v>395350</v>
      </c>
      <c r="M584" s="168"/>
      <c r="N584" s="168">
        <f ca="1">IFERROR(__xludf.DUMMYFUNCTION("IMPORTRANGE(""https://docs.google.com/spreadsheets/d/11923uPwbBZFjjGgGUA6NLw09EwE0CqkOc4q9oUmW1yo/edit?usp=sharing"",""กำแพงเพชร!M479"")"),0)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IFERROR(__xludf.DUMMYFUNCTION("IMPORTRANGE(""https://docs.google.com/spreadsheets/d/11923uPwbBZFjjGgGUA6NLw09EwE0CqkOc4q9oUmW1yo/edit?usp=sharing"",""กำแพงเพชร!M480"")"),0)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IFERROR(__xludf.DUMMYFUNCTION("IMPORTRANGE(""https://docs.google.com/spreadsheets/d/11923uPwbBZFjjGgGUA6NLw09EwE0CqkOc4q9oUmW1yo/edit?usp=sharing"",""กำแพงเพชร!M481"")"),0)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IFERROR(__xludf.DUMMYFUNCTION("IMPORTRANGE(""https://docs.google.com/spreadsheets/d/11923uPwbBZFjjGgGUA6NLw09EwE0CqkOc4q9oUmW1yo/edit?usp=sharing"",""กำแพงเพชร!M482"")"),0)</f>
        <v>0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IFERROR(__xludf.DUMMYFUNCTION("IMPORTRANGE(""https://docs.google.com/spreadsheets/d/11923uPwbBZFjjGgGUA6NLw09EwE0CqkOc4q9oUmW1yo/edit?usp=sharing"",""กำแพงเพชร!M483"")"),0)</f>
        <v>0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IFERROR(__xludf.DUMMYFUNCTION("IMPORTRANGE(""https://docs.google.com/spreadsheets/d/11923uPwbBZFjjGgGUA6NLw09EwE0CqkOc4q9oUmW1yo/edit?usp=sharing"",""กำแพงเพชร!I484"")"),500)</f>
        <v>500</v>
      </c>
      <c r="J589" s="187">
        <f ca="1">IFERROR(__xludf.DUMMYFUNCTION("IMPORTRANGE(""https://docs.google.com/spreadsheets/d/11923uPwbBZFjjGgGUA6NLw09EwE0CqkOc4q9oUmW1yo/edit?usp=sharing"",""กำแพงเพชร!J484"")"),26)</f>
        <v>26</v>
      </c>
      <c r="K589" s="163">
        <f t="shared" ref="K589:K596" ca="1" si="125">IF(I589&gt;0,J589*100/I589,0)</f>
        <v>5.2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IFERROR(__xludf.DUMMYFUNCTION("IMPORTRANGE(""https://docs.google.com/spreadsheets/d/11923uPwbBZFjjGgGUA6NLw09EwE0CqkOc4q9oUmW1yo/edit?usp=sharing"",""กำแพงเพชร!I485"")"),0)</f>
        <v>0</v>
      </c>
      <c r="J590" s="187">
        <f ca="1">IFERROR(__xludf.DUMMYFUNCTION("IMPORTRANGE(""https://docs.google.com/spreadsheets/d/11923uPwbBZFjjGgGUA6NLw09EwE0CqkOc4q9oUmW1yo/edit?usp=sharing"",""กำแพงเพชร!J485"")"),34.53)</f>
        <v>34.53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IFERROR(__xludf.DUMMYFUNCTION("IMPORTRANGE(""https://docs.google.com/spreadsheets/d/11923uPwbBZFjjGgGUA6NLw09EwE0CqkOc4q9oUmW1yo/edit?usp=sharing"",""กำแพงเพชร!I486"")"),500)</f>
        <v>500</v>
      </c>
      <c r="J591" s="187">
        <f ca="1">IFERROR(__xludf.DUMMYFUNCTION("IMPORTRANGE(""https://docs.google.com/spreadsheets/d/11923uPwbBZFjjGgGUA6NLw09EwE0CqkOc4q9oUmW1yo/edit?usp=sharing"",""กำแพงเพชร!J486"")"),0)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IFERROR(__xludf.DUMMYFUNCTION("IMPORTRANGE(""https://docs.google.com/spreadsheets/d/11923uPwbBZFjjGgGUA6NLw09EwE0CqkOc4q9oUmW1yo/edit?usp=sharing"",""กำแพงเพชร!I487"")"),0)</f>
        <v>0</v>
      </c>
      <c r="J592" s="187">
        <f ca="1">IFERROR(__xludf.DUMMYFUNCTION("IMPORTRANGE(""https://docs.google.com/spreadsheets/d/11923uPwbBZFjjGgGUA6NLw09EwE0CqkOc4q9oUmW1yo/edit?usp=sharing"",""กำแพงเพชร!J487"")"),0)</f>
        <v>0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IFERROR(__xludf.DUMMYFUNCTION("IMPORTRANGE(""https://docs.google.com/spreadsheets/d/11923uPwbBZFjjGgGUA6NLw09EwE0CqkOc4q9oUmW1yo/edit?usp=sharing"",""กำแพงเพชร!I488"")"),500)</f>
        <v>500</v>
      </c>
      <c r="J593" s="187">
        <f ca="1">IFERROR(__xludf.DUMMYFUNCTION("IMPORTRANGE(""https://docs.google.com/spreadsheets/d/11923uPwbBZFjjGgGUA6NLw09EwE0CqkOc4q9oUmW1yo/edit?usp=sharing"",""กำแพงเพชร!J488"")"),0)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IFERROR(__xludf.DUMMYFUNCTION("IMPORTRANGE(""https://docs.google.com/spreadsheets/d/11923uPwbBZFjjGgGUA6NLw09EwE0CqkOc4q9oUmW1yo/edit?usp=sharing"",""กำแพงเพชร!I489"")"),0)</f>
        <v>0</v>
      </c>
      <c r="J594" s="187">
        <f ca="1">IFERROR(__xludf.DUMMYFUNCTION("IMPORTRANGE(""https://docs.google.com/spreadsheets/d/11923uPwbBZFjjGgGUA6NLw09EwE0CqkOc4q9oUmW1yo/edit?usp=sharing"",""กำแพงเพชร!J489"")"),0)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IFERROR(__xludf.DUMMYFUNCTION("IMPORTRANGE(""https://docs.google.com/spreadsheets/d/11923uPwbBZFjjGgGUA6NLw09EwE0CqkOc4q9oUmW1yo/edit?usp=sharing"",""กำแพงเพชร!I490"")"),500)</f>
        <v>500</v>
      </c>
      <c r="J595" s="187">
        <f ca="1">IFERROR(__xludf.DUMMYFUNCTION("IMPORTRANGE(""https://docs.google.com/spreadsheets/d/11923uPwbBZFjjGgGUA6NLw09EwE0CqkOc4q9oUmW1yo/edit?usp=sharing"",""กำแพงเพชร!J490"")"),0)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IFERROR(__xludf.DUMMYFUNCTION("IMPORTRANGE(""https://docs.google.com/spreadsheets/d/11923uPwbBZFjjGgGUA6NLw09EwE0CqkOc4q9oUmW1yo/edit?usp=sharing"",""กำแพงเพชร!I491"")"),0)</f>
        <v>0</v>
      </c>
      <c r="J596" s="240">
        <f ca="1">IFERROR(__xludf.DUMMYFUNCTION("IMPORTRANGE(""https://docs.google.com/spreadsheets/d/11923uPwbBZFjjGgGUA6NLw09EwE0CqkOc4q9oUmW1yo/edit?usp=sharing"",""กำแพงเพชร!J491"")"),0)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IFERROR(__xludf.DUMMYFUNCTION("IMPORTRANGE(""https://docs.google.com/spreadsheets/d/11923uPwbBZFjjGgGUA6NLw09EwE0CqkOc4q9oUmW1yo/edit?usp=sharing"",""กำแพงเพชร!I492"")"),100)</f>
        <v>100</v>
      </c>
      <c r="J597" s="485">
        <f ca="1">IFERROR(__xludf.DUMMYFUNCTION("IMPORTRANGE(""https://docs.google.com/spreadsheets/d/11923uPwbBZFjjGgGUA6NLw09EwE0CqkOc4q9oUmW1yo/edit?usp=sharing"",""กำแพงเพชร!J492"")"),0)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IFERROR(__xludf.DUMMYFUNCTION("IMPORTRANGE(""https://docs.google.com/spreadsheets/d/11923uPwbBZFjjGgGUA6NLw09EwE0CqkOc4q9oUmW1yo/edit?usp=sharing"",""กำแพงเพชร!L492"")"),8900)</f>
        <v>8900</v>
      </c>
      <c r="M597" s="410"/>
      <c r="N597" s="410">
        <f ca="1">IFERROR(__xludf.DUMMYFUNCTION("IMPORTRANGE(""https://docs.google.com/spreadsheets/d/11923uPwbBZFjjGgGUA6NLw09EwE0CqkOc4q9oUmW1yo/edit?usp=sharing"",""กำแพงเพชร!M492"")"),1200)</f>
        <v>1200</v>
      </c>
      <c r="O597" s="410">
        <f t="shared" ref="O597:O601" ca="1" si="126">+IF(L597&gt;0,N597*100/L597,0)</f>
        <v>13.48314606741573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IFERROR(__xludf.DUMMYFUNCTION("IMPORTRANGE(""https://docs.google.com/spreadsheets/d/11923uPwbBZFjjGgGUA6NLw09EwE0CqkOc4q9oUmW1yo/edit?usp=sharing"",""กำแพงเพชร!L493"")"),0)</f>
        <v>0</v>
      </c>
      <c r="M598" s="164"/>
      <c r="N598" s="168">
        <f ca="1">IFERROR(__xludf.DUMMYFUNCTION("IMPORTRANGE(""https://docs.google.com/spreadsheets/d/11923uPwbBZFjjGgGUA6NLw09EwE0CqkOc4q9oUmW1yo/edit?usp=sharing"",""กำแพงเพชร!M493"")"),0)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IFERROR(__xludf.DUMMYFUNCTION("IMPORTRANGE(""https://docs.google.com/spreadsheets/d/11923uPwbBZFjjGgGUA6NLw09EwE0CqkOc4q9oUmW1yo/edit?usp=sharing"",""กำแพงเพชร!L494"")"),8900)</f>
        <v>8900</v>
      </c>
      <c r="M599" s="165"/>
      <c r="N599" s="168">
        <f ca="1">IFERROR(__xludf.DUMMYFUNCTION("IMPORTRANGE(""https://docs.google.com/spreadsheets/d/11923uPwbBZFjjGgGUA6NLw09EwE0CqkOc4q9oUmW1yo/edit?usp=sharing"",""กำแพงเพชร!M494"")"),1200)</f>
        <v>1200</v>
      </c>
      <c r="O599" s="168">
        <f t="shared" ca="1" si="126"/>
        <v>13.48314606741573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IFERROR(__xludf.DUMMYFUNCTION("IMPORTRANGE(""https://docs.google.com/spreadsheets/d/11923uPwbBZFjjGgGUA6NLw09EwE0CqkOc4q9oUmW1yo/edit?usp=sharing"",""กำแพงเพชร!L495"")"),0)</f>
        <v>0</v>
      </c>
      <c r="M600" s="168"/>
      <c r="N600" s="168">
        <f ca="1">IFERROR(__xludf.DUMMYFUNCTION("IMPORTRANGE(""https://docs.google.com/spreadsheets/d/11923uPwbBZFjjGgGUA6NLw09EwE0CqkOc4q9oUmW1yo/edit?usp=sharing"",""กำแพงเพชร!M495"")"),0)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IFERROR(__xludf.DUMMYFUNCTION("IMPORTRANGE(""https://docs.google.com/spreadsheets/d/11923uPwbBZFjjGgGUA6NLw09EwE0CqkOc4q9oUmW1yo/edit?usp=sharing"",""กำแพงเพชร!L496"")"),8900)</f>
        <v>8900</v>
      </c>
      <c r="M601" s="168"/>
      <c r="N601" s="168">
        <f ca="1">IFERROR(__xludf.DUMMYFUNCTION("IMPORTRANGE(""https://docs.google.com/spreadsheets/d/11923uPwbBZFjjGgGUA6NLw09EwE0CqkOc4q9oUmW1yo/edit?usp=sharing"",""กำแพงเพชร!M496"")"),1200)</f>
        <v>1200</v>
      </c>
      <c r="O601" s="168">
        <f t="shared" ca="1" si="126"/>
        <v>13.48314606741573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IFERROR(__xludf.DUMMYFUNCTION("IMPORTRANGE(""https://docs.google.com/spreadsheets/d/11923uPwbBZFjjGgGUA6NLw09EwE0CqkOc4q9oUmW1yo/edit?usp=sharing"",""กำแพงเพชร!M497"")"),0)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IFERROR(__xludf.DUMMYFUNCTION("IMPORTRANGE(""https://docs.google.com/spreadsheets/d/11923uPwbBZFjjGgGUA6NLw09EwE0CqkOc4q9oUmW1yo/edit?usp=sharing"",""กำแพงเพชร!M498"")"),0)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IFERROR(__xludf.DUMMYFUNCTION("IMPORTRANGE(""https://docs.google.com/spreadsheets/d/11923uPwbBZFjjGgGUA6NLw09EwE0CqkOc4q9oUmW1yo/edit?usp=sharing"",""กำแพงเพชร!M499"")"),1200)</f>
        <v>1200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IFERROR(__xludf.DUMMYFUNCTION("IMPORTRANGE(""https://docs.google.com/spreadsheets/d/11923uPwbBZFjjGgGUA6NLw09EwE0CqkOc4q9oUmW1yo/edit?usp=sharing"",""กำแพงเพชร!M500"")"),0)</f>
        <v>0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IFERROR(__xludf.DUMMYFUNCTION("IMPORTRANGE(""https://docs.google.com/spreadsheets/d/11923uPwbBZFjjGgGUA6NLw09EwE0CqkOc4q9oUmW1yo/edit?usp=sharing"",""กำแพงเพชร!J502"")"),0)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IFERROR(__xludf.DUMMYFUNCTION("IMPORTRANGE(""https://docs.google.com/spreadsheets/d/11923uPwbBZFjjGgGUA6NLw09EwE0CqkOc4q9oUmW1yo/edit?usp=sharing"",""กำแพงเพชร!J503"")"),0)</f>
        <v>0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IFERROR(__xludf.DUMMYFUNCTION("IMPORTRANGE(""https://docs.google.com/spreadsheets/d/11923uPwbBZFjjGgGUA6NLw09EwE0CqkOc4q9oUmW1yo/edit?usp=sharing"",""กำแพงเพชร!J166"")"),0)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IFERROR(__xludf.DUMMYFUNCTION("IMPORTRANGE(""https://docs.google.com/spreadsheets/d/11923uPwbBZFjjGgGUA6NLw09EwE0CqkOc4q9oUmW1yo/edit?usp=sharing"",""กำแพงเพชร!J166"")"),0)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IFERROR(__xludf.DUMMYFUNCTION("IMPORTRANGE(""https://docs.google.com/spreadsheets/d/11923uPwbBZFjjGgGUA6NLw09EwE0CqkOc4q9oUmW1yo/edit?usp=sharing"",""กำแพงเพชร!I506"")"),100)</f>
        <v>100</v>
      </c>
      <c r="J611" s="162">
        <f ca="1">IFERROR(__xludf.DUMMYFUNCTION("IMPORTRANGE(""https://docs.google.com/spreadsheets/d/11923uPwbBZFjjGgGUA6NLw09EwE0CqkOc4q9oUmW1yo/edit?usp=sharing"",""กำแพงเพชร!J506"")"),0)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IFERROR(__xludf.DUMMYFUNCTION("IMPORTRANGE(""https://docs.google.com/spreadsheets/d/11923uPwbBZFjjGgGUA6NLw09EwE0CqkOc4q9oUmW1yo/edit?usp=sharing"",""กำแพงเพชร!I507"")"),0)</f>
        <v>0</v>
      </c>
      <c r="J612" s="197">
        <f ca="1">IFERROR(__xludf.DUMMYFUNCTION("IMPORTRANGE(""https://docs.google.com/spreadsheets/d/11923uPwbBZFjjGgGUA6NLw09EwE0CqkOc4q9oUmW1yo/edit?usp=sharing"",""กำแพงเพชร!J507"")"),0)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IFERROR(__xludf.DUMMYFUNCTION("IMPORTRANGE(""https://docs.google.com/spreadsheets/d/11923uPwbBZFjjGgGUA6NLw09EwE0CqkOc4q9oUmW1yo/edit?usp=sharing"",""กำแพงเพชร!I508"")"),0)</f>
        <v>0</v>
      </c>
      <c r="J613" s="197">
        <f ca="1">IFERROR(__xludf.DUMMYFUNCTION("IMPORTRANGE(""https://docs.google.com/spreadsheets/d/11923uPwbBZFjjGgGUA6NLw09EwE0CqkOc4q9oUmW1yo/edit?usp=sharing"",""กำแพงเพชร!J508"")"),0)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IFERROR(__xludf.DUMMYFUNCTION("IMPORTRANGE(""https://docs.google.com/spreadsheets/d/11923uPwbBZFjjGgGUA6NLw09EwE0CqkOc4q9oUmW1yo/edit?usp=sharing"",""กำแพงเพชร!I509"")"),0)</f>
        <v>0</v>
      </c>
      <c r="J614" s="197">
        <f ca="1">IFERROR(__xludf.DUMMYFUNCTION("IMPORTRANGE(""https://docs.google.com/spreadsheets/d/11923uPwbBZFjjGgGUA6NLw09EwE0CqkOc4q9oUmW1yo/edit?usp=sharing"",""กำแพงเพชร!J509"")"),0)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IFERROR(__xludf.DUMMYFUNCTION("IMPORTRANGE(""https://docs.google.com/spreadsheets/d/11923uPwbBZFjjGgGUA6NLw09EwE0CqkOc4q9oUmW1yo/edit?usp=sharing"",""กำแพงเพชร!I510"")"),0)</f>
        <v>0</v>
      </c>
      <c r="J615" s="197">
        <f ca="1">IFERROR(__xludf.DUMMYFUNCTION("IMPORTRANGE(""https://docs.google.com/spreadsheets/d/11923uPwbBZFjjGgGUA6NLw09EwE0CqkOc4q9oUmW1yo/edit?usp=sharing"",""กำแพงเพชร!J510"")"),0)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IFERROR(__xludf.DUMMYFUNCTION("IMPORTRANGE(""https://docs.google.com/spreadsheets/d/11923uPwbBZFjjGgGUA6NLw09EwE0CqkOc4q9oUmW1yo/edit?usp=sharing"",""กำแพงเพชร!I511"")"),0)</f>
        <v>0</v>
      </c>
      <c r="J616" s="197">
        <f ca="1">IFERROR(__xludf.DUMMYFUNCTION("IMPORTRANGE(""https://docs.google.com/spreadsheets/d/11923uPwbBZFjjGgGUA6NLw09EwE0CqkOc4q9oUmW1yo/edit?usp=sharing"",""กำแพงเพชร!J511"")"),0)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IFERROR(__xludf.DUMMYFUNCTION("IMPORTRANGE(""https://docs.google.com/spreadsheets/d/11923uPwbBZFjjGgGUA6NLw09EwE0CqkOc4q9oUmW1yo/edit?usp=sharing"",""กำแพงเพชร!I512"")"),0)</f>
        <v>0</v>
      </c>
      <c r="J617" s="187">
        <f ca="1">IFERROR(__xludf.DUMMYFUNCTION("IMPORTRANGE(""https://docs.google.com/spreadsheets/d/11923uPwbBZFjjGgGUA6NLw09EwE0CqkOc4q9oUmW1yo/edit?usp=sharing"",""กำแพงเพชร!J512"")"),0)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IFERROR(__xludf.DUMMYFUNCTION("IMPORTRANGE(""https://docs.google.com/spreadsheets/d/11923uPwbBZFjjGgGUA6NLw09EwE0CqkOc4q9oUmW1yo/edit?usp=sharing"",""กำแพงเพชร!I513"")"),0)</f>
        <v>0</v>
      </c>
      <c r="J618" s="188">
        <f ca="1">IFERROR(__xludf.DUMMYFUNCTION("IMPORTRANGE(""https://docs.google.com/spreadsheets/d/11923uPwbBZFjjGgGUA6NLw09EwE0CqkOc4q9oUmW1yo/edit?usp=sharing"",""กำแพงเพชร!J513"")"),0)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IFERROR(__xludf.DUMMYFUNCTION("IMPORTRANGE(""https://docs.google.com/spreadsheets/d/11923uPwbBZFjjGgGUA6NLw09EwE0CqkOc4q9oUmW1yo/edit?usp=sharing"",""กำแพงเพชร!I514"")"),0)</f>
        <v>0</v>
      </c>
      <c r="J619" s="188">
        <f ca="1">IFERROR(__xludf.DUMMYFUNCTION("IMPORTRANGE(""https://docs.google.com/spreadsheets/d/11923uPwbBZFjjGgGUA6NLw09EwE0CqkOc4q9oUmW1yo/edit?usp=sharing"",""กำแพงเพชร!J514"")"),0)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IFERROR(__xludf.DUMMYFUNCTION("IMPORTRANGE(""https://docs.google.com/spreadsheets/d/11923uPwbBZFjjGgGUA6NLw09EwE0CqkOc4q9oUmW1yo/edit?usp=sharing"",""กำแพงเพชร!I515"")"),0)</f>
        <v>0</v>
      </c>
      <c r="J620" s="202">
        <f ca="1">IFERROR(__xludf.DUMMYFUNCTION("IMPORTRANGE(""https://docs.google.com/spreadsheets/d/11923uPwbBZFjjGgGUA6NLw09EwE0CqkOc4q9oUmW1yo/edit?usp=sharing"",""กำแพงเพชร!J515"")"),0)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IFERROR(__xludf.DUMMYFUNCTION("IMPORTRANGE(""https://docs.google.com/spreadsheets/d/11923uPwbBZFjjGgGUA6NLw09EwE0CqkOc4q9oUmW1yo/edit?usp=sharing"",""กำแพงเพชร!I516"")"),0)</f>
        <v>0</v>
      </c>
      <c r="J621" s="202">
        <f ca="1">IFERROR(__xludf.DUMMYFUNCTION("IMPORTRANGE(""https://docs.google.com/spreadsheets/d/11923uPwbBZFjjGgGUA6NLw09EwE0CqkOc4q9oUmW1yo/edit?usp=sharing"",""กำแพงเพชร!J516"")"),0)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IFERROR(__xludf.DUMMYFUNCTION("IMPORTRANGE(""https://docs.google.com/spreadsheets/d/11923uPwbBZFjjGgGUA6NLw09EwE0CqkOc4q9oUmW1yo/edit?usp=sharing"",""กำแพงเพชร!I517"")"),0)</f>
        <v>0</v>
      </c>
      <c r="J622" s="188">
        <f ca="1">IFERROR(__xludf.DUMMYFUNCTION("IMPORTRANGE(""https://docs.google.com/spreadsheets/d/11923uPwbBZFjjGgGUA6NLw09EwE0CqkOc4q9oUmW1yo/edit?usp=sharing"",""กำแพงเพชร!J517"")"),0)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IFERROR(__xludf.DUMMYFUNCTION("IMPORTRANGE(""https://docs.google.com/spreadsheets/d/11923uPwbBZFjjGgGUA6NLw09EwE0CqkOc4q9oUmW1yo/edit?usp=sharing"",""กำแพงเพชร!I518"")"),0)</f>
        <v>0</v>
      </c>
      <c r="J623" s="188">
        <f ca="1">IFERROR(__xludf.DUMMYFUNCTION("IMPORTRANGE(""https://docs.google.com/spreadsheets/d/11923uPwbBZFjjGgGUA6NLw09EwE0CqkOc4q9oUmW1yo/edit?usp=sharing"",""กำแพงเพชร!J518"")"),0)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IFERROR(__xludf.DUMMYFUNCTION("IMPORTRANGE(""https://docs.google.com/spreadsheets/d/11923uPwbBZFjjGgGUA6NLw09EwE0CqkOc4q9oUmW1yo/edit?usp=sharing"",""กำแพงเพชร!I519"")"),0)</f>
        <v>0</v>
      </c>
      <c r="J624" s="187">
        <f ca="1">IFERROR(__xludf.DUMMYFUNCTION("IMPORTRANGE(""https://docs.google.com/spreadsheets/d/11923uPwbBZFjjGgGUA6NLw09EwE0CqkOc4q9oUmW1yo/edit?usp=sharing"",""กำแพงเพชร!J519"")"),0)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IFERROR(__xludf.DUMMYFUNCTION("IMPORTRANGE(""https://docs.google.com/spreadsheets/d/11923uPwbBZFjjGgGUA6NLw09EwE0CqkOc4q9oUmW1yo/edit?usp=sharing"",""กำแพงเพชร!I520"")"),0)</f>
        <v>0</v>
      </c>
      <c r="J625" s="188">
        <f ca="1">IFERROR(__xludf.DUMMYFUNCTION("IMPORTRANGE(""https://docs.google.com/spreadsheets/d/11923uPwbBZFjjGgGUA6NLw09EwE0CqkOc4q9oUmW1yo/edit?usp=sharing"",""กำแพงเพชร!J520"")"),0)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IFERROR(__xludf.DUMMYFUNCTION("IMPORTRANGE(""https://docs.google.com/spreadsheets/d/11923uPwbBZFjjGgGUA6NLw09EwE0CqkOc4q9oUmW1yo/edit?usp=sharing"",""กำแพงเพชร!I521"")"),0)</f>
        <v>0</v>
      </c>
      <c r="J626" s="188">
        <f ca="1">IFERROR(__xludf.DUMMYFUNCTION("IMPORTRANGE(""https://docs.google.com/spreadsheets/d/11923uPwbBZFjjGgGUA6NLw09EwE0CqkOc4q9oUmW1yo/edit?usp=sharing"",""กำแพงเพชร!J521"")"),0)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IFERROR(__xludf.DUMMYFUNCTION("IMPORTRANGE(""https://docs.google.com/spreadsheets/d/11923uPwbBZFjjGgGUA6NLw09EwE0CqkOc4q9oUmW1yo/edit?usp=sharing"",""กำแพงเพชร!I523"")"),5000000)</f>
        <v>5000000</v>
      </c>
      <c r="J628" s="339">
        <f ca="1">IFERROR(__xludf.DUMMYFUNCTION("IMPORTRANGE(""https://docs.google.com/spreadsheets/d/11923uPwbBZFjjGgGUA6NLw09EwE0CqkOc4q9oUmW1yo/edit?usp=sharing"",""กำแพงเพชร!J523"")"),510000)</f>
        <v>510000</v>
      </c>
      <c r="K628" s="340">
        <f t="shared" ref="K628:K635" ca="1" si="129">IF(I628&gt;0,J628*100/I628,0)</f>
        <v>10.199999999999999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IFERROR(__xludf.DUMMYFUNCTION("IMPORTRANGE(""https://docs.google.com/spreadsheets/d/11923uPwbBZFjjGgGUA6NLw09EwE0CqkOc4q9oUmW1yo/edit?usp=sharing"",""กำแพงเพชร!I524"")"),161)</f>
        <v>161</v>
      </c>
      <c r="J629" s="339">
        <f ca="1">IFERROR(__xludf.DUMMYFUNCTION("IMPORTRANGE(""https://docs.google.com/spreadsheets/d/11923uPwbBZFjjGgGUA6NLw09EwE0CqkOc4q9oUmW1yo/edit?usp=sharing"",""กำแพงเพชร!J524"")"),17)</f>
        <v>17</v>
      </c>
      <c r="K629" s="340">
        <f t="shared" ca="1" si="129"/>
        <v>10.559006211180124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39">
        <f ca="1">IFERROR(__xludf.DUMMYFUNCTION("IMPORTRANGE(""https://docs.google.com/spreadsheets/d/11923uPwbBZFjjGgGUA6NLw09EwE0CqkOc4q9oUmW1yo/edit?usp=sharing"",""กำแพงเพชร!J525"")"),819152.81)</f>
        <v>819152.81</v>
      </c>
      <c r="K630" s="340">
        <f t="shared" ca="1" si="129"/>
        <v>16.482159436006121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IFERROR(__xludf.DUMMYFUNCTION("IMPORTRANGE(""https://docs.google.com/spreadsheets/d/11923uPwbBZFjjGgGUA6NLw09EwE0CqkOc4q9oUmW1yo/edit?usp=sharing"",""กำแพงเพชร!I526"")"),126)</f>
        <v>126</v>
      </c>
      <c r="J631" s="339">
        <f ca="1">IFERROR(__xludf.DUMMYFUNCTION("IMPORTRANGE(""https://docs.google.com/spreadsheets/d/11923uPwbBZFjjGgGUA6NLw09EwE0CqkOc4q9oUmW1yo/edit?usp=sharing"",""กำแพงเพชร!J526"")"),40)</f>
        <v>40</v>
      </c>
      <c r="K631" s="340">
        <f t="shared" ca="1" si="129"/>
        <v>31.746031746031747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39">
        <f ca="1">IFERROR(__xludf.DUMMYFUNCTION("IMPORTRANGE(""https://docs.google.com/spreadsheets/d/11923uPwbBZFjjGgGUA6NLw09EwE0CqkOc4q9oUmW1yo/edit?usp=sharing"",""กำแพงเพชร!J527"")"),722651.96)</f>
        <v>722651.96</v>
      </c>
      <c r="K632" s="340">
        <f t="shared" ca="1" si="129"/>
        <v>28.661763805615109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IFERROR(__xludf.DUMMYFUNCTION("IMPORTRANGE(""https://docs.google.com/spreadsheets/d/11923uPwbBZFjjGgGUA6NLw09EwE0CqkOc4q9oUmW1yo/edit?usp=sharing"",""กำแพงเพชร!I528"")"),293)</f>
        <v>293</v>
      </c>
      <c r="J633" s="339">
        <f ca="1">IFERROR(__xludf.DUMMYFUNCTION("IMPORTRANGE(""https://docs.google.com/spreadsheets/d/11923uPwbBZFjjGgGUA6NLw09EwE0CqkOc4q9oUmW1yo/edit?usp=sharing"",""กำแพงเพชร!J528"")"),132)</f>
        <v>132</v>
      </c>
      <c r="K633" s="340">
        <f t="shared" ca="1" si="129"/>
        <v>45.051194539249146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IFERROR(__xludf.DUMMYFUNCTION("IMPORTRANGE(""https://docs.google.com/spreadsheets/d/11923uPwbBZFjjGgGUA6NLw09EwE0CqkOc4q9oUmW1yo/edit?usp=sharing"",""กำแพงเพชร!I529"")"),5000000)</f>
        <v>5000000</v>
      </c>
      <c r="J634" s="339">
        <f ca="1">IFERROR(__xludf.DUMMYFUNCTION("IMPORTRANGE(""https://docs.google.com/spreadsheets/d/11923uPwbBZFjjGgGUA6NLw09EwE0CqkOc4q9oUmW1yo/edit?usp=sharing"",""กำแพงเพชร!J529"")"),0)</f>
        <v>0</v>
      </c>
      <c r="K634" s="340">
        <f t="shared" ca="1" si="129"/>
        <v>0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IFERROR(__xludf.DUMMYFUNCTION("IMPORTRANGE(""https://docs.google.com/spreadsheets/d/11923uPwbBZFjjGgGUA6NLw09EwE0CqkOc4q9oUmW1yo/edit?usp=sharing"",""กำแพงเพชร!I530"")"),164)</f>
        <v>164</v>
      </c>
      <c r="J635" s="502">
        <f ca="1">IFERROR(__xludf.DUMMYFUNCTION("IMPORTRANGE(""https://docs.google.com/spreadsheets/d/11923uPwbBZFjjGgGUA6NLw09EwE0CqkOc4q9oUmW1yo/edit?usp=sharing"",""กำแพงเพชร!J530"")"),0)</f>
        <v>0</v>
      </c>
      <c r="K635" s="484">
        <f t="shared" ca="1" si="129"/>
        <v>0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9" width="13.90625" bestFit="1" customWidth="1"/>
    <col min="10" max="10" width="11.90625" bestFit="1" customWidth="1"/>
    <col min="11" max="11" width="11" bestFit="1" customWidth="1"/>
    <col min="12" max="13" width="20.08984375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240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7073659</v>
      </c>
      <c r="M8" s="23">
        <f t="shared" ca="1" si="0"/>
        <v>2616962</v>
      </c>
      <c r="N8" s="23">
        <f t="shared" ca="1" si="0"/>
        <v>2695788</v>
      </c>
      <c r="O8" s="22">
        <f t="shared" ref="O8:O16" ca="1" si="1">IF(L8&gt;0,N8*100/L8,0)</f>
        <v>38.110234038706132</v>
      </c>
      <c r="P8" s="22">
        <f t="shared" ref="P8:P16" ca="1" si="2">IF(M8&gt;0,N8*100/M8,0)</f>
        <v>103.01211863221552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7073659</v>
      </c>
      <c r="M10" s="30">
        <f t="shared" ca="1" si="4"/>
        <v>2616962</v>
      </c>
      <c r="N10" s="30">
        <f t="shared" ca="1" si="4"/>
        <v>2695788</v>
      </c>
      <c r="O10" s="29">
        <f t="shared" ca="1" si="1"/>
        <v>38.110234038706132</v>
      </c>
      <c r="P10" s="29">
        <f t="shared" ca="1" si="2"/>
        <v>103.01211863221552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6888859</v>
      </c>
      <c r="M12" s="38">
        <f t="shared" ca="1" si="6"/>
        <v>2432162</v>
      </c>
      <c r="N12" s="38">
        <f t="shared" ca="1" si="6"/>
        <v>2510988</v>
      </c>
      <c r="O12" s="38">
        <f t="shared" ca="1" si="1"/>
        <v>36.449983952349726</v>
      </c>
      <c r="P12" s="38">
        <f t="shared" ca="1" si="2"/>
        <v>103.24098476992897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2745700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4143159</v>
      </c>
      <c r="M14" s="38">
        <f t="shared" si="8"/>
        <v>0</v>
      </c>
      <c r="N14" s="38">
        <f t="shared" ca="1" si="8"/>
        <v>478980</v>
      </c>
      <c r="O14" s="38">
        <f t="shared" ca="1" si="1"/>
        <v>11.560743867179609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184800</v>
      </c>
      <c r="M16" s="38">
        <f t="shared" ca="1" si="10"/>
        <v>184800</v>
      </c>
      <c r="N16" s="38">
        <f t="shared" ca="1" si="10"/>
        <v>184800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4633740</v>
      </c>
      <c r="M18" s="23">
        <f t="shared" ca="1" si="11"/>
        <v>2616962</v>
      </c>
      <c r="N18" s="23">
        <f t="shared" ca="1" si="11"/>
        <v>2216808</v>
      </c>
      <c r="O18" s="22">
        <f t="shared" ref="O18:O20" ca="1" si="12">IF(L18&gt;0,N18*100/L18,0)</f>
        <v>47.840578021209652</v>
      </c>
      <c r="P18" s="22">
        <f t="shared" ref="P18:P26" ca="1" si="13">IF(M18&gt;0,N18*100/M18,0)</f>
        <v>84.709216259158524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4633740</v>
      </c>
      <c r="M20" s="30">
        <f t="shared" ca="1" si="15"/>
        <v>2616962</v>
      </c>
      <c r="N20" s="30">
        <f t="shared" ca="1" si="15"/>
        <v>2216808</v>
      </c>
      <c r="O20" s="29">
        <f t="shared" ca="1" si="12"/>
        <v>47.840578021209652</v>
      </c>
      <c r="P20" s="29">
        <f t="shared" ca="1" si="13"/>
        <v>84.709216259158524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4448940</v>
      </c>
      <c r="M22" s="41">
        <f t="shared" ca="1" si="18"/>
        <v>2432162</v>
      </c>
      <c r="N22" s="38">
        <f t="shared" ca="1" si="18"/>
        <v>2032008</v>
      </c>
      <c r="O22" s="38">
        <f t="shared" ca="1" si="17"/>
        <v>45.673980768452708</v>
      </c>
      <c r="P22" s="38">
        <f t="shared" ca="1" si="13"/>
        <v>83.54739528041307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2745700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1703240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184800</v>
      </c>
      <c r="M26" s="49">
        <f t="shared" ca="1" si="22"/>
        <v>184800</v>
      </c>
      <c r="N26" s="49">
        <f t="shared" ca="1" si="22"/>
        <v>184800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2439919</v>
      </c>
      <c r="M28" s="23">
        <f t="shared" si="23"/>
        <v>0</v>
      </c>
      <c r="N28" s="23">
        <f t="shared" ca="1" si="23"/>
        <v>478980</v>
      </c>
      <c r="O28" s="22">
        <f t="shared" ref="O28:O30" ca="1" si="24">IF(L28&gt;0,N28*100/L28,0)</f>
        <v>19.630979553009752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2439919</v>
      </c>
      <c r="M30" s="30">
        <f t="shared" si="27"/>
        <v>0</v>
      </c>
      <c r="N30" s="30">
        <f t="shared" ca="1" si="27"/>
        <v>478980</v>
      </c>
      <c r="O30" s="29">
        <f t="shared" ca="1" si="24"/>
        <v>19.630979553009752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2439919</v>
      </c>
      <c r="M32" s="38">
        <f t="shared" si="30"/>
        <v>0</v>
      </c>
      <c r="N32" s="38">
        <f t="shared" ca="1" si="30"/>
        <v>478980</v>
      </c>
      <c r="O32" s="38">
        <f t="shared" ca="1" si="29"/>
        <v>19.630979553009752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2439919</v>
      </c>
      <c r="M34" s="38">
        <f t="shared" si="32"/>
        <v>0</v>
      </c>
      <c r="N34" s="38">
        <f t="shared" ca="1" si="32"/>
        <v>478980</v>
      </c>
      <c r="O34" s="38">
        <f t="shared" ca="1" si="29"/>
        <v>19.630979553009752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4633740</v>
      </c>
      <c r="M37" s="54">
        <f t="shared" ca="1" si="33"/>
        <v>2616962</v>
      </c>
      <c r="N37" s="54">
        <f t="shared" ca="1" si="33"/>
        <v>2216808</v>
      </c>
      <c r="O37" s="55">
        <f t="shared" ca="1" si="29"/>
        <v>47.840578021209652</v>
      </c>
      <c r="P37" s="55">
        <f t="shared" ca="1" si="25"/>
        <v>84.709216259158524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750700</v>
      </c>
      <c r="M41" s="78">
        <f t="shared" ca="1" si="34"/>
        <v>375400</v>
      </c>
      <c r="N41" s="78">
        <f t="shared" ca="1" si="34"/>
        <v>349107</v>
      </c>
      <c r="O41" s="77">
        <f t="shared" ref="O41:O43" ca="1" si="35">IF(L41&gt;0,N41*100/L41,0)</f>
        <v>46.504196083655252</v>
      </c>
      <c r="P41" s="77">
        <f t="shared" ref="P41:P43" ca="1" si="36">IF(M41&gt;0,N41*100/M41,0)</f>
        <v>92.996004262120408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750700</v>
      </c>
      <c r="M43" s="78">
        <f t="shared" ca="1" si="38"/>
        <v>375400</v>
      </c>
      <c r="N43" s="78">
        <f t="shared" ca="1" si="38"/>
        <v>349107</v>
      </c>
      <c r="O43" s="77">
        <f t="shared" ca="1" si="35"/>
        <v>46.504196083655252</v>
      </c>
      <c r="P43" s="77">
        <f t="shared" ca="1" si="36"/>
        <v>92.996004262120408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750700</v>
      </c>
      <c r="M45" s="49">
        <f ca="1">IFERROR(__xludf.DUMMYFUNCTION("IMPORTRANGE(""https://docs.google.com/spreadsheets/d/1Yj_ptqi66GCucihVvJfMjLAmec39IyEx_6qawtMGysU/edit?usp=sharing"",""สบก!Q21"")"),375400)</f>
        <v>375400</v>
      </c>
      <c r="N45" s="49">
        <f ca="1">IFERROR(__xludf.DUMMYFUNCTION("IMPORTRANGE(""https://docs.google.com/spreadsheets/d/1Yj_ptqi66GCucihVvJfMjLAmec39IyEx_6qawtMGysU/edit?usp=sharing"",""สบก!R21"")"),349107)</f>
        <v>349107</v>
      </c>
      <c r="O45" s="38">
        <f ca="1">IF(L45&gt;0,N45*100/L45,0)</f>
        <v>46.504196083655252</v>
      </c>
      <c r="P45" s="38">
        <f ca="1">IF(M45&gt;0,N45*100/M45,0)</f>
        <v>92.996004262120408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IFERROR(__xludf.DUMMYFUNCTION("IMPORTRANGE(""https://docs.google.com/spreadsheets/d/1Yj_ptqi66GCucihVvJfMjLAmec39IyEx_6qawtMGysU/edit?usp=sharing"",""สบก!M21"")"),750700)</f>
        <v>750700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IFERROR(__xludf.DUMMYFUNCTION("IMPORTRANGE(""https://docs.google.com/spreadsheets/d/1Yj_ptqi66GCucihVvJfMjLAmec39IyEx_6qawtMGysU/edit?usp=sharing"",""สบก!N21"")"),0)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IFERROR(__xludf.DUMMYFUNCTION("IMPORTRANGE(""https://docs.google.com/spreadsheets/d/1Yj_ptqi66GCucihVvJfMjLAmec39IyEx_6qawtMGysU/edit?usp=sharing"",""สบก!O21"")"),0)</f>
        <v>0</v>
      </c>
      <c r="M49" s="49"/>
      <c r="N49" s="49">
        <f ca="1">IFERROR(__xludf.DUMMYFUNCTION("IMPORTRANGE(""https://docs.google.com/spreadsheets/d/1Yj_ptqi66GCucihVvJfMjLAmec39IyEx_6qawtMGysU/edit?usp=sharing"",""สบก!S21"")"),0)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700000</v>
      </c>
      <c r="M53" s="120">
        <f t="shared" ca="1" si="39"/>
        <v>369052</v>
      </c>
      <c r="N53" s="120">
        <f t="shared" ca="1" si="39"/>
        <v>344868</v>
      </c>
      <c r="O53" s="119">
        <f t="shared" ref="O53:O55" ca="1" si="40">IF(L53&gt;0,N53*100/L53,0)</f>
        <v>49.266857142857141</v>
      </c>
      <c r="P53" s="119">
        <f t="shared" ref="P53:P55" ca="1" si="41">IF(M53&gt;0,N53*100/M53,0)</f>
        <v>93.44699391955605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700000</v>
      </c>
      <c r="M55" s="120">
        <f t="shared" ca="1" si="43"/>
        <v>369052</v>
      </c>
      <c r="N55" s="120">
        <f t="shared" ca="1" si="43"/>
        <v>344868</v>
      </c>
      <c r="O55" s="119">
        <f t="shared" ca="1" si="40"/>
        <v>49.266857142857141</v>
      </c>
      <c r="P55" s="119">
        <f t="shared" ca="1" si="41"/>
        <v>93.44699391955605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700000</v>
      </c>
      <c r="M57" s="49">
        <f ca="1">IFERROR(__xludf.DUMMYFUNCTION("IMPORTRANGE(""https://docs.google.com/spreadsheets/d/1Yj_ptqi66GCucihVvJfMjLAmec39IyEx_6qawtMGysU/edit?usp=sharing"",""สบก!Z21"")"),369052)</f>
        <v>369052</v>
      </c>
      <c r="N57" s="49">
        <f ca="1">IFERROR(__xludf.DUMMYFUNCTION("IMPORTRANGE(""https://docs.google.com/spreadsheets/d/1Yj_ptqi66GCucihVvJfMjLAmec39IyEx_6qawtMGysU/edit?usp=sharing"",""สบก!AA21"")"),344868)</f>
        <v>344868</v>
      </c>
      <c r="O57" s="38">
        <f ca="1">IF(L57&gt;0,N57*100/L57,0)</f>
        <v>49.266857142857141</v>
      </c>
      <c r="P57" s="38">
        <f ca="1">IF(M57&gt;0,N57*100/M57,0)</f>
        <v>93.44699391955605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IFERROR(__xludf.DUMMYFUNCTION("IMPORTRANGE(""https://docs.google.com/spreadsheets/d/1Yj_ptqi66GCucihVvJfMjLAmec39IyEx_6qawtMGysU/edit?usp=sharing"",""สบก!V21"")"),700000)</f>
        <v>700000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IFERROR(__xludf.DUMMYFUNCTION("IMPORTRANGE(""https://docs.google.com/spreadsheets/d/1Yj_ptqi66GCucihVvJfMjLAmec39IyEx_6qawtMGysU/edit?usp=sharing"",""สบก!W21"")"),0)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IFERROR(__xludf.DUMMYFUNCTION("IMPORTRANGE(""https://docs.google.com/spreadsheets/d/1Yj_ptqi66GCucihVvJfMjLAmec39IyEx_6qawtMGysU/edit?usp=sharing"",""สบก!X21"")"),0)</f>
        <v>0</v>
      </c>
      <c r="M61" s="49"/>
      <c r="N61" s="49">
        <f ca="1">IFERROR(__xludf.DUMMYFUNCTION("IMPORTRANGE(""https://docs.google.com/spreadsheets/d/1Yj_ptqi66GCucihVvJfMjLAmec39IyEx_6qawtMGysU/edit?usp=sharing"",""สบก!AB21"")"),0)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IFERROR(__xludf.DUMMYFUNCTION("IMPORTRANGE(""https://docs.google.com/spreadsheets/d/11923uPwbBZFjjGgGUA6NLw09EwE0CqkOc4q9oUmW1yo/edit?usp=sharing"",""เชียงราย!I9"")"),1)</f>
        <v>1</v>
      </c>
      <c r="J64" s="141">
        <f ca="1">IFERROR(__xludf.DUMMYFUNCTION("IMPORTRANGE(""https://docs.google.com/spreadsheets/d/11923uPwbBZFjjGgGUA6NLw09EwE0CqkOc4q9oUmW1yo/edit?usp=sharing"",""เชียงราย!J9"")"),1)</f>
        <v>1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IFERROR(__xludf.DUMMYFUNCTION("IMPORTRANGE(""https://docs.google.com/spreadsheets/d/11923uPwbBZFjjGgGUA6NLw09EwE0CqkOc4q9oUmW1yo/edit?usp=sharing"",""เชียงราย!I10"")"),60)</f>
        <v>60</v>
      </c>
      <c r="J65" s="141">
        <f ca="1">IFERROR(__xludf.DUMMYFUNCTION("IMPORTRANGE(""https://docs.google.com/spreadsheets/d/11923uPwbBZFjjGgGUA6NLw09EwE0CqkOc4q9oUmW1yo/edit?usp=sharing"",""เชียงราย!J10"")"),60)</f>
        <v>60</v>
      </c>
      <c r="K65" s="142">
        <f t="shared" ca="1" si="44"/>
        <v>100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548000</v>
      </c>
      <c r="M66" s="151">
        <f t="shared" ca="1" si="45"/>
        <v>310620</v>
      </c>
      <c r="N66" s="151">
        <f t="shared" ca="1" si="45"/>
        <v>189715</v>
      </c>
      <c r="O66" s="150">
        <f t="shared" ref="O66:O68" ca="1" si="46">IF(L66&gt;0,N66*100/L66,0)</f>
        <v>34.619525547445257</v>
      </c>
      <c r="P66" s="150">
        <f t="shared" ref="P66:P68" ca="1" si="47">IF(M66&gt;0,N66*100/M66,0)</f>
        <v>61.076234627519156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548000</v>
      </c>
      <c r="M68" s="87">
        <f t="shared" ca="1" si="49"/>
        <v>310620</v>
      </c>
      <c r="N68" s="87">
        <f t="shared" ca="1" si="49"/>
        <v>189715</v>
      </c>
      <c r="O68" s="155">
        <f t="shared" ca="1" si="46"/>
        <v>34.619525547445257</v>
      </c>
      <c r="P68" s="155">
        <f t="shared" ca="1" si="47"/>
        <v>61.076234627519156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548000</v>
      </c>
      <c r="M70" s="167">
        <f ca="1">IFERROR(__xludf.DUMMYFUNCTION("IMPORTRANGE(""https://docs.google.com/spreadsheets/d/1Yj_ptqi66GCucihVvJfMjLAmec39IyEx_6qawtMGysU/edit?usp=sharing"",""สบก!AI21"")"),310620)</f>
        <v>310620</v>
      </c>
      <c r="N70" s="168">
        <f ca="1">IFERROR(__xludf.DUMMYFUNCTION("IMPORTRANGE(""https://docs.google.com/spreadsheets/d/1Yj_ptqi66GCucihVvJfMjLAmec39IyEx_6qawtMGysU/edit?usp=sharing"",""สบก!AJ21"")"),189715)</f>
        <v>189715</v>
      </c>
      <c r="O70" s="168">
        <f ca="1">IF(L70&gt;0,N70*100/L70,0)</f>
        <v>34.619525547445257</v>
      </c>
      <c r="P70" s="168">
        <f ca="1">IF(M70&gt;0,N70*100/M70,0)</f>
        <v>61.076234627519156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IFERROR(__xludf.DUMMYFUNCTION("IMPORTRANGE(""https://docs.google.com/spreadsheets/d/1Yj_ptqi66GCucihVvJfMjLAmec39IyEx_6qawtMGysU/edit?usp=sharing"",""สบก!AE21"")"),0)</f>
        <v>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IFERROR(__xludf.DUMMYFUNCTION("IMPORTRANGE(""https://docs.google.com/spreadsheets/d/1Yj_ptqi66GCucihVvJfMjLAmec39IyEx_6qawtMGysU/edit?usp=sharing"",""สบก!AF21"")"),548000)</f>
        <v>548000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IFERROR(__xludf.DUMMYFUNCTION("IMPORTRANGE(""https://docs.google.com/spreadsheets/d/1Yj_ptqi66GCucihVvJfMjLAmec39IyEx_6qawtMGysU/edit?usp=sharing"",""สบก!AG21"")"),0)</f>
        <v>0</v>
      </c>
      <c r="M74" s="49"/>
      <c r="N74" s="49">
        <f ca="1">IFERROR(__xludf.DUMMYFUNCTION("IMPORTRANGE(""https://docs.google.com/spreadsheets/d/1Yj_ptqi66GCucihVvJfMjLAmec39IyEx_6qawtMGysU/edit?usp=sharing"",""สบก!AK21"")"),0)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IFERROR(__xludf.DUMMYFUNCTION("IMPORTRANGE(""https://docs.google.com/spreadsheets/d/11923uPwbBZFjjGgGUA6NLw09EwE0CqkOc4q9oUmW1yo/edit?usp=sharing"",""เชียงราย!J16"")"),0)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IFERROR(__xludf.DUMMYFUNCTION("IMPORTRANGE(""https://docs.google.com/spreadsheets/d/11923uPwbBZFjjGgGUA6NLw09EwE0CqkOc4q9oUmW1yo/edit?usp=sharing"",""เชียงราย!J17"")"),1)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IFERROR(__xludf.DUMMYFUNCTION("IMPORTRANGE(""https://docs.google.com/spreadsheets/d/11923uPwbBZFjjGgGUA6NLw09EwE0CqkOc4q9oUmW1yo/edit?usp=sharing"",""เชียงราย!J18"")"),1)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IFERROR(__xludf.DUMMYFUNCTION("IMPORTRANGE(""https://docs.google.com/spreadsheets/d/11923uPwbBZFjjGgGUA6NLw09EwE0CqkOc4q9oUmW1yo/edit?usp=sharing"",""เชียงราย!J19"")"),1)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IFERROR(__xludf.DUMMYFUNCTION("IMPORTRANGE(""https://docs.google.com/spreadsheets/d/11923uPwbBZFjjGgGUA6NLw09EwE0CqkOc4q9oUmW1yo/edit?usp=sharing"",""เชียงราย!I20"")"),1)</f>
        <v>1</v>
      </c>
      <c r="J80" s="200">
        <f ca="1">IFERROR(__xludf.DUMMYFUNCTION("IMPORTRANGE(""https://docs.google.com/spreadsheets/d/11923uPwbBZFjjGgGUA6NLw09EwE0CqkOc4q9oUmW1yo/edit?usp=sharing"",""เชียงราย!J20"")"),1)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IFERROR(__xludf.DUMMYFUNCTION("IMPORTRANGE(""https://docs.google.com/spreadsheets/d/11923uPwbBZFjjGgGUA6NLw09EwE0CqkOc4q9oUmW1yo/edit?usp=sharing"",""เชียงราย!I21"")"),60)</f>
        <v>60</v>
      </c>
      <c r="J81" s="200">
        <f ca="1">IFERROR(__xludf.DUMMYFUNCTION("IMPORTRANGE(""https://docs.google.com/spreadsheets/d/11923uPwbBZFjjGgGUA6NLw09EwE0CqkOc4q9oUmW1yo/edit?usp=sharing"",""เชียงราย!J21"")"),60)</f>
        <v>60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IFERROR(__xludf.DUMMYFUNCTION("IMPORTRANGE(""https://docs.google.com/spreadsheets/d/11923uPwbBZFjjGgGUA6NLw09EwE0CqkOc4q9oUmW1yo/edit?usp=sharing"",""เชียงราย!I22"")"),1)</f>
        <v>1</v>
      </c>
      <c r="J82" s="203">
        <f ca="1">IFERROR(__xludf.DUMMYFUNCTION("IMPORTRANGE(""https://docs.google.com/spreadsheets/d/11923uPwbBZFjjGgGUA6NLw09EwE0CqkOc4q9oUmW1yo/edit?usp=sharing"",""เชียงราย!J22"")"),1)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IFERROR(__xludf.DUMMYFUNCTION("IMPORTRANGE(""https://docs.google.com/spreadsheets/d/11923uPwbBZFjjGgGUA6NLw09EwE0CqkOc4q9oUmW1yo/edit?usp=sharing"",""เชียงราย!I23"")"),60)</f>
        <v>60</v>
      </c>
      <c r="J83" s="203">
        <f ca="1">IFERROR(__xludf.DUMMYFUNCTION("IMPORTRANGE(""https://docs.google.com/spreadsheets/d/11923uPwbBZFjjGgGUA6NLw09EwE0CqkOc4q9oUmW1yo/edit?usp=sharing"",""เชียงราย!J23"")"),60)</f>
        <v>60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IFERROR(__xludf.DUMMYFUNCTION("IMPORTRANGE(""https://docs.google.com/spreadsheets/d/11923uPwbBZFjjGgGUA6NLw09EwE0CqkOc4q9oUmW1yo/edit?usp=sharing"",""เชียงราย!I24"")"),0)</f>
        <v>0</v>
      </c>
      <c r="J84" s="188">
        <f ca="1">IFERROR(__xludf.DUMMYFUNCTION("IMPORTRANGE(""https://docs.google.com/spreadsheets/d/11923uPwbBZFjjGgGUA6NLw09EwE0CqkOc4q9oUmW1yo/edit?usp=sharing"",""เชียงราย!J24"")"),0)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IFERROR(__xludf.DUMMYFUNCTION("IMPORTRANGE(""https://docs.google.com/spreadsheets/d/11923uPwbBZFjjGgGUA6NLw09EwE0CqkOc4q9oUmW1yo/edit?usp=sharing"",""เชียงราย!I25"")"),0)</f>
        <v>0</v>
      </c>
      <c r="J85" s="188">
        <f ca="1">IFERROR(__xludf.DUMMYFUNCTION("IMPORTRANGE(""https://docs.google.com/spreadsheets/d/11923uPwbBZFjjGgGUA6NLw09EwE0CqkOc4q9oUmW1yo/edit?usp=sharing"",""เชียงราย!J25"")"),0)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IFERROR(__xludf.DUMMYFUNCTION("IMPORTRANGE(""https://docs.google.com/spreadsheets/d/11923uPwbBZFjjGgGUA6NLw09EwE0CqkOc4q9oUmW1yo/edit?usp=sharing"",""เชียงราย!I26"")"),0)</f>
        <v>0</v>
      </c>
      <c r="J86" s="203">
        <f ca="1">IFERROR(__xludf.DUMMYFUNCTION("IMPORTRANGE(""https://docs.google.com/spreadsheets/d/11923uPwbBZFjjGgGUA6NLw09EwE0CqkOc4q9oUmW1yo/edit?usp=sharing"",""เชียงราย!J26"")"),0)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IFERROR(__xludf.DUMMYFUNCTION("IMPORTRANGE(""https://docs.google.com/spreadsheets/d/11923uPwbBZFjjGgGUA6NLw09EwE0CqkOc4q9oUmW1yo/edit?usp=sharing"",""เชียงราย!I27"")"),0)</f>
        <v>0</v>
      </c>
      <c r="J87" s="203">
        <f ca="1">IFERROR(__xludf.DUMMYFUNCTION("IMPORTRANGE(""https://docs.google.com/spreadsheets/d/11923uPwbBZFjjGgGUA6NLw09EwE0CqkOc4q9oUmW1yo/edit?usp=sharing"",""เชียงราย!J27"")"),0)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IFERROR(__xludf.DUMMYFUNCTION("IMPORTRANGE(""https://docs.google.com/spreadsheets/d/11923uPwbBZFjjGgGUA6NLw09EwE0CqkOc4q9oUmW1yo/edit?usp=sharing"",""เชียงราย!I28"")"),60)</f>
        <v>60</v>
      </c>
      <c r="J88" s="203">
        <f ca="1">IFERROR(__xludf.DUMMYFUNCTION("IMPORTRANGE(""https://docs.google.com/spreadsheets/d/11923uPwbBZFjjGgGUA6NLw09EwE0CqkOc4q9oUmW1yo/edit?usp=sharing"",""เชียงราย!J28"")"),0)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IFERROR(__xludf.DUMMYFUNCTION("IMPORTRANGE(""https://docs.google.com/spreadsheets/d/11923uPwbBZFjjGgGUA6NLw09EwE0CqkOc4q9oUmW1yo/edit?usp=sharing"",""เชียงราย!J29"")"),0)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IFERROR(__xludf.DUMMYFUNCTION("IMPORTRANGE(""https://docs.google.com/spreadsheets/d/11923uPwbBZFjjGgGUA6NLw09EwE0CqkOc4q9oUmW1yo/edit?usp=sharing"",""เชียงราย!J30"")"),0)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IFERROR(__xludf.DUMMYFUNCTION("IMPORTRANGE(""https://docs.google.com/spreadsheets/d/11923uPwbBZFjjGgGUA6NLw09EwE0CqkOc4q9oUmW1yo/edit?usp=sharing"",""เชียงราย!I32"")"),7)</f>
        <v>7</v>
      </c>
      <c r="J92" s="141">
        <f ca="1">IFERROR(__xludf.DUMMYFUNCTION("IMPORTRANGE(""https://docs.google.com/spreadsheets/d/11923uPwbBZFjjGgGUA6NLw09EwE0CqkOc4q9oUmW1yo/edit?usp=sharing"",""เชียงราย!J32"")"),0)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IFERROR(__xludf.DUMMYFUNCTION("IMPORTRANGE(""https://docs.google.com/spreadsheets/d/11923uPwbBZFjjGgGUA6NLw09EwE0CqkOc4q9oUmW1yo/edit?usp=sharing"",""เชียงราย!I33"")"),2)</f>
        <v>2</v>
      </c>
      <c r="J93" s="141">
        <f ca="1">IFERROR(__xludf.DUMMYFUNCTION("IMPORTRANGE(""https://docs.google.com/spreadsheets/d/11923uPwbBZFjjGgGUA6NLw09EwE0CqkOc4q9oUmW1yo/edit?usp=sharing"",""เชียงราย!J33"")"),2)</f>
        <v>2</v>
      </c>
      <c r="K93" s="142">
        <f t="shared" ca="1" si="51"/>
        <v>100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318960</v>
      </c>
      <c r="M94" s="151">
        <f t="shared" ca="1" si="52"/>
        <v>265590</v>
      </c>
      <c r="N94" s="151">
        <f t="shared" ca="1" si="52"/>
        <v>203735</v>
      </c>
      <c r="O94" s="150">
        <f t="shared" ref="O94:O96" ca="1" si="53">IF(L94&gt;0,N94*100/L94,0)</f>
        <v>63.874780536744417</v>
      </c>
      <c r="P94" s="150">
        <f t="shared" ref="P94:P96" ca="1" si="54">IF(M94&gt;0,N94*100/M94,0)</f>
        <v>76.710343009902488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318960</v>
      </c>
      <c r="M96" s="87">
        <f t="shared" ca="1" si="56"/>
        <v>265590</v>
      </c>
      <c r="N96" s="87">
        <f t="shared" ca="1" si="56"/>
        <v>203735</v>
      </c>
      <c r="O96" s="155">
        <f t="shared" ca="1" si="53"/>
        <v>63.874780536744417</v>
      </c>
      <c r="P96" s="155">
        <f t="shared" ca="1" si="54"/>
        <v>76.710343009902488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IFERROR(__xludf.DUMMYFUNCTION("IMPORTRANGE(""https://docs.google.com/spreadsheets/d/1Yj_ptqi66GCucihVvJfMjLAmec39IyEx_6qawtMGysU/edit?usp=sharing"",""สบก!AR21"")"),80790)</f>
        <v>80790</v>
      </c>
      <c r="N98" s="168">
        <f ca="1">IFERROR(__xludf.DUMMYFUNCTION("IMPORTRANGE(""https://docs.google.com/spreadsheets/d/1Yj_ptqi66GCucihVvJfMjLAmec39IyEx_6qawtMGysU/edit?usp=sharing"",""สบก!AS21"")"),18935)</f>
        <v>18935</v>
      </c>
      <c r="O98" s="168">
        <f ca="1">IF(L98&gt;0,N98*100/L98,0)</f>
        <v>14.113744782349434</v>
      </c>
      <c r="P98" s="168">
        <f ca="1">IF(M98&gt;0,N98*100/M98,0)</f>
        <v>23.437306597351157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IFERROR(__xludf.DUMMYFUNCTION("IMPORTRANGE(""https://docs.google.com/spreadsheets/d/1Yj_ptqi66GCucihVvJfMjLAmec39IyEx_6qawtMGysU/edit?usp=sharing"",""สบก!AN21"")"),0)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IFERROR(__xludf.DUMMYFUNCTION("IMPORTRANGE(""https://docs.google.com/spreadsheets/d/1Yj_ptqi66GCucihVvJfMjLAmec39IyEx_6qawtMGysU/edit?usp=sharing"",""สบก!AO21"")"),134160)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IFERROR(__xludf.DUMMYFUNCTION("IMPORTRANGE(""https://docs.google.com/spreadsheets/d/1Yj_ptqi66GCucihVvJfMjLAmec39IyEx_6qawtMGysU/edit?usp=sharing"",""สบก!AP21"")"),184800)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IFERROR(__xludf.DUMMYFUNCTION("IMPORTRANGE(""https://docs.google.com/spreadsheets/d/1Yj_ptqi66GCucihVvJfMjLAmec39IyEx_6qawtMGysU/edit?usp=sharing"",""สบก!AT21"")"),184800)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IFERROR(__xludf.DUMMYFUNCTION("IMPORTRANGE(""https://docs.google.com/spreadsheets/d/11923uPwbBZFjjGgGUA6NLw09EwE0CqkOc4q9oUmW1yo/edit?usp=sharing"",""เชียงราย!J39"")"),0)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IFERROR(__xludf.DUMMYFUNCTION("IMPORTRANGE(""https://docs.google.com/spreadsheets/d/11923uPwbBZFjjGgGUA6NLw09EwE0CqkOc4q9oUmW1yo/edit?usp=sharing"",""เชียงราย!J40"")"),1)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IFERROR(__xludf.DUMMYFUNCTION("IMPORTRANGE(""https://docs.google.com/spreadsheets/d/11923uPwbBZFjjGgGUA6NLw09EwE0CqkOc4q9oUmW1yo/edit?usp=sharing"",""เชียงราย!J41"")"),1)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IFERROR(__xludf.DUMMYFUNCTION("IMPORTRANGE(""https://docs.google.com/spreadsheets/d/11923uPwbBZFjjGgGUA6NLw09EwE0CqkOc4q9oUmW1yo/edit?usp=sharing"",""เชียงราย!J42"")"),1)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IFERROR(__xludf.DUMMYFUNCTION("IMPORTRANGE(""https://docs.google.com/spreadsheets/d/11923uPwbBZFjjGgGUA6NLw09EwE0CqkOc4q9oUmW1yo/edit?usp=sharing"",""เชียงราย!I43"")"),1)</f>
        <v>1</v>
      </c>
      <c r="J108" s="203">
        <f ca="1">IFERROR(__xludf.DUMMYFUNCTION("IMPORTRANGE(""https://docs.google.com/spreadsheets/d/11923uPwbBZFjjGgGUA6NLw09EwE0CqkOc4q9oUmW1yo/edit?usp=sharing"",""เชียงราย!J43"")"),0)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IFERROR(__xludf.DUMMYFUNCTION("IMPORTRANGE(""https://docs.google.com/spreadsheets/d/11923uPwbBZFjjGgGUA6NLw09EwE0CqkOc4q9oUmW1yo/edit?usp=sharing"",""เชียงราย!I44"")"),7)</f>
        <v>7</v>
      </c>
      <c r="J109" s="203">
        <f ca="1">IFERROR(__xludf.DUMMYFUNCTION("IMPORTRANGE(""https://docs.google.com/spreadsheets/d/11923uPwbBZFjjGgGUA6NLw09EwE0CqkOc4q9oUmW1yo/edit?usp=sharing"",""เชียงราย!J44"")"),0)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IFERROR(__xludf.DUMMYFUNCTION("IMPORTRANGE(""https://docs.google.com/spreadsheets/d/11923uPwbBZFjjGgGUA6NLw09EwE0CqkOc4q9oUmW1yo/edit?usp=sharing"",""เชียงราย!I45"")"),7)</f>
        <v>7</v>
      </c>
      <c r="J110" s="203">
        <f ca="1">IFERROR(__xludf.DUMMYFUNCTION("IMPORTRANGE(""https://docs.google.com/spreadsheets/d/11923uPwbBZFjjGgGUA6NLw09EwE0CqkOc4q9oUmW1yo/edit?usp=sharing"",""เชียงราย!J45"")"),7)</f>
        <v>7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IFERROR(__xludf.DUMMYFUNCTION("IMPORTRANGE(""https://docs.google.com/spreadsheets/d/11923uPwbBZFjjGgGUA6NLw09EwE0CqkOc4q9oUmW1yo/edit?usp=sharing"",""เชียงราย!I46"")"),7)</f>
        <v>7</v>
      </c>
      <c r="J111" s="203">
        <f ca="1">IFERROR(__xludf.DUMMYFUNCTION("IMPORTRANGE(""https://docs.google.com/spreadsheets/d/11923uPwbBZFjjGgGUA6NLw09EwE0CqkOc4q9oUmW1yo/edit?usp=sharing"",""เชียงราย!J46"")"),0)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IFERROR(__xludf.DUMMYFUNCTION("IMPORTRANGE(""https://docs.google.com/spreadsheets/d/11923uPwbBZFjjGgGUA6NLw09EwE0CqkOc4q9oUmW1yo/edit?usp=sharing"",""เชียงราย!I47"")"),7)</f>
        <v>7</v>
      </c>
      <c r="J112" s="203">
        <f ca="1">IFERROR(__xludf.DUMMYFUNCTION("IMPORTRANGE(""https://docs.google.com/spreadsheets/d/11923uPwbBZFjjGgGUA6NLw09EwE0CqkOc4q9oUmW1yo/edit?usp=sharing"",""เชียงราย!J47"")"),0)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IFERROR(__xludf.DUMMYFUNCTION("IMPORTRANGE(""https://docs.google.com/spreadsheets/d/11923uPwbBZFjjGgGUA6NLw09EwE0CqkOc4q9oUmW1yo/edit?usp=sharing"",""เชียงราย!I48"")"),2)</f>
        <v>2</v>
      </c>
      <c r="J113" s="203">
        <f ca="1">IFERROR(__xludf.DUMMYFUNCTION("IMPORTRANGE(""https://docs.google.com/spreadsheets/d/11923uPwbBZFjjGgGUA6NLw09EwE0CqkOc4q9oUmW1yo/edit?usp=sharing"",""เชียงราย!J48"")"),2)</f>
        <v>2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IFERROR(__xludf.DUMMYFUNCTION("IMPORTRANGE(""https://docs.google.com/spreadsheets/d/11923uPwbBZFjjGgGUA6NLw09EwE0CqkOc4q9oUmW1yo/edit?usp=sharing"",""เชียงราย!J49"")"),0)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IFERROR(__xludf.DUMMYFUNCTION("IMPORTRANGE(""https://docs.google.com/spreadsheets/d/11923uPwbBZFjjGgGUA6NLw09EwE0CqkOc4q9oUmW1yo/edit?usp=sharing"",""เชียงราย!J50"")"),0)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IFERROR(__xludf.DUMMYFUNCTION("IMPORTRANGE(""https://docs.google.com/spreadsheets/d/11923uPwbBZFjjGgGUA6NLw09EwE0CqkOc4q9oUmW1yo/edit?usp=sharing"",""เชียงราย!I52"")"),0)</f>
        <v>0</v>
      </c>
      <c r="J117" s="141">
        <f ca="1">IFERROR(__xludf.DUMMYFUNCTION("IMPORTRANGE(""https://docs.google.com/spreadsheets/d/11923uPwbBZFjjGgGUA6NLw09EwE0CqkOc4q9oUmW1yo/edit?usp=sharing"",""เชียงราย!J52"")"),0)</f>
        <v>0</v>
      </c>
      <c r="K117" s="142">
        <f ca="1">IF(I117&gt;0,J117*100/I117,0)</f>
        <v>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0</v>
      </c>
      <c r="M118" s="151">
        <f t="shared" ca="1" si="58"/>
        <v>0</v>
      </c>
      <c r="N118" s="151">
        <f t="shared" ca="1" si="58"/>
        <v>0</v>
      </c>
      <c r="O118" s="150">
        <f t="shared" ref="O118:O120" ca="1" si="59">IF(L118&gt;0,N118*100/L118,0)</f>
        <v>0</v>
      </c>
      <c r="P118" s="150">
        <f t="shared" ref="P118:P120" ca="1" si="60">IF(M118&gt;0,N118*100/M118,0)</f>
        <v>0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0</v>
      </c>
      <c r="M120" s="87">
        <f t="shared" ca="1" si="62"/>
        <v>0</v>
      </c>
      <c r="N120" s="87">
        <f t="shared" ca="1" si="62"/>
        <v>0</v>
      </c>
      <c r="O120" s="155">
        <f t="shared" ca="1" si="59"/>
        <v>0</v>
      </c>
      <c r="P120" s="155">
        <f t="shared" ca="1" si="60"/>
        <v>0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IFERROR(__xludf.DUMMYFUNCTION("IMPORTRANGE(""https://docs.google.com/spreadsheets/d/1Yj_ptqi66GCucihVvJfMjLAmec39IyEx_6qawtMGysU/edit?usp=sharing"",""สบก!BA21"")"),0)</f>
        <v>0</v>
      </c>
      <c r="N122" s="168">
        <f ca="1">IFERROR(__xludf.DUMMYFUNCTION("IMPORTRANGE(""https://docs.google.com/spreadsheets/d/1Yj_ptqi66GCucihVvJfMjLAmec39IyEx_6qawtMGysU/edit?usp=sharing"",""สบก!BB21"")"),0)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IFERROR(__xludf.DUMMYFUNCTION("IMPORTRANGE(""https://docs.google.com/spreadsheets/d/1Yj_ptqi66GCucihVvJfMjLAmec39IyEx_6qawtMGysU/edit?usp=sharing"",""สบก!AW21"")"),0)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IFERROR(__xludf.DUMMYFUNCTION("IMPORTRANGE(""https://docs.google.com/spreadsheets/d/1Yj_ptqi66GCucihVvJfMjLAmec39IyEx_6qawtMGysU/edit?usp=sharing"",""สบก!AX21"")"),0)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IFERROR(__xludf.DUMMYFUNCTION("IMPORTRANGE(""https://docs.google.com/spreadsheets/d/1Yj_ptqi66GCucihVvJfMjLAmec39IyEx_6qawtMGysU/edit?usp=sharing"",""สบก!AY21"")"),0)</f>
        <v>0</v>
      </c>
      <c r="M126" s="49"/>
      <c r="N126" s="49">
        <f ca="1">IFERROR(__xludf.DUMMYFUNCTION("IMPORTRANGE(""https://docs.google.com/spreadsheets/d/1Yj_ptqi66GCucihVvJfMjLAmec39IyEx_6qawtMGysU/edit?usp=sharing"",""สบก!BC21"")"),0)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241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IFERROR(__xludf.DUMMYFUNCTION("IMPORTRANGE(""https://docs.google.com/spreadsheets/d/11923uPwbBZFjjGgGUA6NLw09EwE0CqkOc4q9oUmW1yo/edit?usp=sharing"",""เชียงราย!J58"")"),0)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IFERROR(__xludf.DUMMYFUNCTION("IMPORTRANGE(""https://docs.google.com/spreadsheets/d/11923uPwbBZFjjGgGUA6NLw09EwE0CqkOc4q9oUmW1yo/edit?usp=sharing"",""เชียงราย!J59"")"),0)</f>
        <v>0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IFERROR(__xludf.DUMMYFUNCTION("IMPORTRANGE(""https://docs.google.com/spreadsheets/d/11923uPwbBZFjjGgGUA6NLw09EwE0CqkOc4q9oUmW1yo/edit?usp=sharing"",""เชียงราย!J60"")"),0)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IFERROR(__xludf.DUMMYFUNCTION("IMPORTRANGE(""https://docs.google.com/spreadsheets/d/11923uPwbBZFjjGgGUA6NLw09EwE0CqkOc4q9oUmW1yo/edit?usp=sharing"",""เชียงราย!J61"")"),0)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IFERROR(__xludf.DUMMYFUNCTION("IMPORTRANGE(""https://docs.google.com/spreadsheets/d/11923uPwbBZFjjGgGUA6NLw09EwE0CqkOc4q9oUmW1yo/edit?usp=sharing"",""เชียงราย!I62"")"),0)</f>
        <v>0</v>
      </c>
      <c r="J132" s="203">
        <f ca="1">IFERROR(__xludf.DUMMYFUNCTION("IMPORTRANGE(""https://docs.google.com/spreadsheets/d/11923uPwbBZFjjGgGUA6NLw09EwE0CqkOc4q9oUmW1yo/edit?usp=sharing"",""เชียงราย!J62"")"),0)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IFERROR(__xludf.DUMMYFUNCTION("IMPORTRANGE(""https://docs.google.com/spreadsheets/d/11923uPwbBZFjjGgGUA6NLw09EwE0CqkOc4q9oUmW1yo/edit?usp=sharing"",""เชียงราย!I63"")"),0)</f>
        <v>0</v>
      </c>
      <c r="J133" s="203">
        <f ca="1">IFERROR(__xludf.DUMMYFUNCTION("IMPORTRANGE(""https://docs.google.com/spreadsheets/d/11923uPwbBZFjjGgGUA6NLw09EwE0CqkOc4q9oUmW1yo/edit?usp=sharing"",""เชียงราย!J63"")"),0)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IFERROR(__xludf.DUMMYFUNCTION("IMPORTRANGE(""https://docs.google.com/spreadsheets/d/11923uPwbBZFjjGgGUA6NLw09EwE0CqkOc4q9oUmW1yo/edit?usp=sharing"",""เชียงราย!J64"")"),0)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IFERROR(__xludf.DUMMYFUNCTION("IMPORTRANGE(""https://docs.google.com/spreadsheets/d/11923uPwbBZFjjGgGUA6NLw09EwE0CqkOc4q9oUmW1yo/edit?usp=sharing"",""เชียงราย!J65"")"),0)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IFERROR(__xludf.DUMMYFUNCTION("IMPORTRANGE(""https://docs.google.com/spreadsheets/d/11923uPwbBZFjjGgGUA6NLw09EwE0CqkOc4q9oUmW1yo/edit?usp=sharing"",""เชียงราย!I68"")"),15)</f>
        <v>15</v>
      </c>
      <c r="J138" s="266">
        <f ca="1">IFERROR(__xludf.DUMMYFUNCTION("IMPORTRANGE(""https://docs.google.com/spreadsheets/d/11923uPwbBZFjjGgGUA6NLw09EwE0CqkOc4q9oUmW1yo/edit?usp=sharing"",""เชียงราย!J68"")"),15)</f>
        <v>15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579900</v>
      </c>
      <c r="M140" s="151">
        <f t="shared" ca="1" si="64"/>
        <v>328450</v>
      </c>
      <c r="N140" s="151">
        <f t="shared" ca="1" si="64"/>
        <v>269409</v>
      </c>
      <c r="O140" s="150">
        <f t="shared" ref="O140:O142" ca="1" si="65">IF(L140&gt;0,N140*100/L140,0)</f>
        <v>46.457837558199692</v>
      </c>
      <c r="P140" s="150">
        <f t="shared" ref="P140:P142" ca="1" si="66">IF(M140&gt;0,N140*100/M140,0)</f>
        <v>82.024356827523221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579900</v>
      </c>
      <c r="M142" s="87">
        <f t="shared" ca="1" si="68"/>
        <v>328450</v>
      </c>
      <c r="N142" s="87">
        <f t="shared" ca="1" si="68"/>
        <v>269409</v>
      </c>
      <c r="O142" s="155">
        <f t="shared" ca="1" si="65"/>
        <v>46.457837558199692</v>
      </c>
      <c r="P142" s="155">
        <f t="shared" ca="1" si="66"/>
        <v>82.024356827523221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579900</v>
      </c>
      <c r="M144" s="167">
        <f ca="1">IFERROR(__xludf.DUMMYFUNCTION("IMPORTRANGE(""https://docs.google.com/spreadsheets/d/1Yj_ptqi66GCucihVvJfMjLAmec39IyEx_6qawtMGysU/edit?usp=sharing"",""สบก!BJ21"")"),328450)</f>
        <v>328450</v>
      </c>
      <c r="N144" s="168">
        <f ca="1">IFERROR(__xludf.DUMMYFUNCTION("IMPORTRANGE(""https://docs.google.com/spreadsheets/d/1Yj_ptqi66GCucihVvJfMjLAmec39IyEx_6qawtMGysU/edit?usp=sharing"",""สบก!BK21"")"),269409)</f>
        <v>269409</v>
      </c>
      <c r="O144" s="168">
        <f ca="1">IF(L144&gt;0,N144*100/L144,0)</f>
        <v>46.457837558199692</v>
      </c>
      <c r="P144" s="168">
        <f ca="1">IF(M144&gt;0,N144*100/M144,0)</f>
        <v>82.024356827523221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IFERROR(__xludf.DUMMYFUNCTION("IMPORTRANGE(""https://docs.google.com/spreadsheets/d/1Yj_ptqi66GCucihVvJfMjLAmec39IyEx_6qawtMGysU/edit?usp=sharing"",""สบก!BF21"")"),463400)</f>
        <v>463400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IFERROR(__xludf.DUMMYFUNCTION("IMPORTRANGE(""https://docs.google.com/spreadsheets/d/1Yj_ptqi66GCucihVvJfMjLAmec39IyEx_6qawtMGysU/edit?usp=sharing"",""สบก!BG21"")"),116500)</f>
        <v>116500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IFERROR(__xludf.DUMMYFUNCTION("IMPORTRANGE(""https://docs.google.com/spreadsheets/d/1Yj_ptqi66GCucihVvJfMjLAmec39IyEx_6qawtMGysU/edit?usp=sharing"",""สบก!BH21"")"),0)</f>
        <v>0</v>
      </c>
      <c r="M148" s="49"/>
      <c r="N148" s="49">
        <f ca="1">IFERROR(__xludf.DUMMYFUNCTION("IMPORTRANGE(""https://docs.google.com/spreadsheets/d/1Yj_ptqi66GCucihVvJfMjLAmec39IyEx_6qawtMGysU/edit?usp=sharing"",""สบก!BL21"")"),0)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IFERROR(__xludf.DUMMYFUNCTION("IMPORTRANGE(""https://docs.google.com/spreadsheets/d/11923uPwbBZFjjGgGUA6NLw09EwE0CqkOc4q9oUmW1yo/edit?usp=sharing"",""เชียงราย!I74"")"),4)</f>
        <v>4</v>
      </c>
      <c r="J149" s="274">
        <f ca="1">IFERROR(__xludf.DUMMYFUNCTION("IMPORTRANGE(""https://docs.google.com/spreadsheets/d/11923uPwbBZFjjGgGUA6NLw09EwE0CqkOc4q9oUmW1yo/edit?usp=sharing"",""เชียงราย!J74"")"),1)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IFERROR(__xludf.DUMMYFUNCTION("IMPORTRANGE(""https://docs.google.com/spreadsheets/d/11923uPwbBZFjjGgGUA6NLw09EwE0CqkOc4q9oUmW1yo/edit?usp=sharing"",""เชียงราย!J79"")"),0)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IFERROR(__xludf.DUMMYFUNCTION("IMPORTRANGE(""https://docs.google.com/spreadsheets/d/11923uPwbBZFjjGgGUA6NLw09EwE0CqkOc4q9oUmW1yo/edit?usp=sharing"",""เชียงราย!J80"")"),1)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IFERROR(__xludf.DUMMYFUNCTION("IMPORTRANGE(""https://docs.google.com/spreadsheets/d/11923uPwbBZFjjGgGUA6NLw09EwE0CqkOc4q9oUmW1yo/edit?usp=sharing"",""เชียงราย!J81"")"),1)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IFERROR(__xludf.DUMMYFUNCTION("IMPORTRANGE(""https://docs.google.com/spreadsheets/d/11923uPwbBZFjjGgGUA6NLw09EwE0CqkOc4q9oUmW1yo/edit?usp=sharing"",""เชียงราย!J82"")"),1)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IFERROR(__xludf.DUMMYFUNCTION("IMPORTRANGE(""https://docs.google.com/spreadsheets/d/11923uPwbBZFjjGgGUA6NLw09EwE0CqkOc4q9oUmW1yo/edit?usp=sharing"",""เชียงราย!I83"")"),4)</f>
        <v>4</v>
      </c>
      <c r="J158" s="188">
        <f ca="1">IFERROR(__xludf.DUMMYFUNCTION("IMPORTRANGE(""https://docs.google.com/spreadsheets/d/11923uPwbBZFjjGgGUA6NLw09EwE0CqkOc4q9oUmW1yo/edit?usp=sharing"",""เชียงราย!J83"")"),1)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IFERROR(__xludf.DUMMYFUNCTION("IMPORTRANGE(""https://docs.google.com/spreadsheets/d/11923uPwbBZFjjGgGUA6NLw09EwE0CqkOc4q9oUmW1yo/edit?usp=sharing"",""เชียงราย!J84"")"),15)</f>
        <v>15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IFERROR(__xludf.DUMMYFUNCTION("IMPORTRANGE(""https://docs.google.com/spreadsheets/d/11923uPwbBZFjjGgGUA6NLw09EwE0CqkOc4q9oUmW1yo/edit?usp=sharing"",""เชียงราย!J85"")"),13)</f>
        <v>13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IFERROR(__xludf.DUMMYFUNCTION("IMPORTRANGE(""https://docs.google.com/spreadsheets/d/11923uPwbBZFjjGgGUA6NLw09EwE0CqkOc4q9oUmW1yo/edit?usp=sharing"",""เชียงราย!J86"")"),2)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IFERROR(__xludf.DUMMYFUNCTION("IMPORTRANGE(""https://docs.google.com/spreadsheets/d/11923uPwbBZFjjGgGUA6NLw09EwE0CqkOc4q9oUmW1yo/edit?usp=sharing"",""เชียงราย!J87"")"),0)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IFERROR(__xludf.DUMMYFUNCTION("IMPORTRANGE(""https://docs.google.com/spreadsheets/d/11923uPwbBZFjjGgGUA6NLw09EwE0CqkOc4q9oUmW1yo/edit?usp=sharing"",""เชียงราย!J88"")"),0)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IFERROR(__xludf.DUMMYFUNCTION("IMPORTRANGE(""https://docs.google.com/spreadsheets/d/11923uPwbBZFjjGgGUA6NLw09EwE0CqkOc4q9oUmW1yo/edit?usp=sharing"",""เชียงราย!I89"")"),5)</f>
        <v>5</v>
      </c>
      <c r="J164" s="282">
        <f ca="1">IFERROR(__xludf.DUMMYFUNCTION("IMPORTRANGE(""https://docs.google.com/spreadsheets/d/11923uPwbBZFjjGgGUA6NLw09EwE0CqkOc4q9oUmW1yo/edit?usp=sharing"",""เชียงราย!J89"")"),5)</f>
        <v>5</v>
      </c>
      <c r="K164" s="283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IFERROR(__xludf.DUMMYFUNCTION("IMPORTRANGE(""https://docs.google.com/spreadsheets/d/11923uPwbBZFjjGgGUA6NLw09EwE0CqkOc4q9oUmW1yo/edit?usp=sharing"",""เชียงราย!J94"")"),0)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IFERROR(__xludf.DUMMYFUNCTION("IMPORTRANGE(""https://docs.google.com/spreadsheets/d/11923uPwbBZFjjGgGUA6NLw09EwE0CqkOc4q9oUmW1yo/edit?usp=sharing"",""เชียงราย!J95"")"),1)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IFERROR(__xludf.DUMMYFUNCTION("IMPORTRANGE(""https://docs.google.com/spreadsheets/d/11923uPwbBZFjjGgGUA6NLw09EwE0CqkOc4q9oUmW1yo/edit?usp=sharing"",""เชียงราย!J96"")"),1)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IFERROR(__xludf.DUMMYFUNCTION("IMPORTRANGE(""https://docs.google.com/spreadsheets/d/11923uPwbBZFjjGgGUA6NLw09EwE0CqkOc4q9oUmW1yo/edit?usp=sharing"",""เชียงราย!J97"")"),1)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IFERROR(__xludf.DUMMYFUNCTION("IMPORTRANGE(""https://docs.google.com/spreadsheets/d/11923uPwbBZFjjGgGUA6NLw09EwE0CqkOc4q9oUmW1yo/edit?usp=sharing"",""เชียงราย!I98"")"),5)</f>
        <v>5</v>
      </c>
      <c r="J173" s="188">
        <f ca="1">IFERROR(__xludf.DUMMYFUNCTION("IMPORTRANGE(""https://docs.google.com/spreadsheets/d/11923uPwbBZFjjGgGUA6NLw09EwE0CqkOc4q9oUmW1yo/edit?usp=sharing"",""เชียงราย!J98"")"),5)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IFERROR(__xludf.DUMMYFUNCTION("IMPORTRANGE(""https://docs.google.com/spreadsheets/d/11923uPwbBZFjjGgGUA6NLw09EwE0CqkOc4q9oUmW1yo/edit?usp=sharing"",""เชียงราย!J99"")"),0)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IFERROR(__xludf.DUMMYFUNCTION("IMPORTRANGE(""https://docs.google.com/spreadsheets/d/11923uPwbBZFjjGgGUA6NLw09EwE0CqkOc4q9oUmW1yo/edit?usp=sharing"",""เชียงราย!J100"")"),0)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IFERROR(__xludf.DUMMYFUNCTION("IMPORTRANGE(""https://docs.google.com/spreadsheets/d/11923uPwbBZFjjGgGUA6NLw09EwE0CqkOc4q9oUmW1yo/edit?usp=sharing"",""เชียงราย!I101"")"),0)</f>
        <v>0</v>
      </c>
      <c r="J176" s="282">
        <f ca="1">IFERROR(__xludf.DUMMYFUNCTION("IMPORTRANGE(""https://docs.google.com/spreadsheets/d/11923uPwbBZFjjGgGUA6NLw09EwE0CqkOc4q9oUmW1yo/edit?usp=sharing"",""เชียงราย!J101"")"),0)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IFERROR(__xludf.DUMMYFUNCTION("IMPORTRANGE(""https://docs.google.com/spreadsheets/d/11923uPwbBZFjjGgGUA6NLw09EwE0CqkOc4q9oUmW1yo/edit?usp=sharing"",""เชียงราย!J106"")"),0)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IFERROR(__xludf.DUMMYFUNCTION("IMPORTRANGE(""https://docs.google.com/spreadsheets/d/11923uPwbBZFjjGgGUA6NLw09EwE0CqkOc4q9oUmW1yo/edit?usp=sharing"",""เชียงราย!J107"")"),0)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IFERROR(__xludf.DUMMYFUNCTION("IMPORTRANGE(""https://docs.google.com/spreadsheets/d/11923uPwbBZFjjGgGUA6NLw09EwE0CqkOc4q9oUmW1yo/edit?usp=sharing"",""เชียงราย!J108"")"),0)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IFERROR(__xludf.DUMMYFUNCTION("IMPORTRANGE(""https://docs.google.com/spreadsheets/d/11923uPwbBZFjjGgGUA6NLw09EwE0CqkOc4q9oUmW1yo/edit?usp=sharing"",""เชียงราย!J109"")"),0)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IFERROR(__xludf.DUMMYFUNCTION("IMPORTRANGE(""https://docs.google.com/spreadsheets/d/11923uPwbBZFjjGgGUA6NLw09EwE0CqkOc4q9oUmW1yo/edit?usp=sharing"",""เชียงราย!I110"")"),0)</f>
        <v>0</v>
      </c>
      <c r="J185" s="203">
        <f ca="1">IFERROR(__xludf.DUMMYFUNCTION("IMPORTRANGE(""https://docs.google.com/spreadsheets/d/11923uPwbBZFjjGgGUA6NLw09EwE0CqkOc4q9oUmW1yo/edit?usp=sharing"",""เชียงราย!J110"")"),0)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IFERROR(__xludf.DUMMYFUNCTION("IMPORTRANGE(""https://docs.google.com/spreadsheets/d/11923uPwbBZFjjGgGUA6NLw09EwE0CqkOc4q9oUmW1yo/edit?usp=sharing"",""เชียงราย!I111"")"),0)</f>
        <v>0</v>
      </c>
      <c r="J186" s="203">
        <f ca="1">IFERROR(__xludf.DUMMYFUNCTION("IMPORTRANGE(""https://docs.google.com/spreadsheets/d/11923uPwbBZFjjGgGUA6NLw09EwE0CqkOc4q9oUmW1yo/edit?usp=sharing"",""เชียงราย!J111"")"),0)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IFERROR(__xludf.DUMMYFUNCTION("IMPORTRANGE(""https://docs.google.com/spreadsheets/d/11923uPwbBZFjjGgGUA6NLw09EwE0CqkOc4q9oUmW1yo/edit?usp=sharing"",""เชียงราย!J112"")"),0)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IFERROR(__xludf.DUMMYFUNCTION("IMPORTRANGE(""https://docs.google.com/spreadsheets/d/11923uPwbBZFjjGgGUA6NLw09EwE0CqkOc4q9oUmW1yo/edit?usp=sharing"",""เชียงราย!J113"")"),0)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IFERROR(__xludf.DUMMYFUNCTION("IMPORTRANGE(""https://docs.google.com/spreadsheets/d/11923uPwbBZFjjGgGUA6NLw09EwE0CqkOc4q9oUmW1yo/edit?usp=sharing"",""เชียงราย!I114"")"),60000)</f>
        <v>60000</v>
      </c>
      <c r="J189" s="282">
        <f ca="1">IFERROR(__xludf.DUMMYFUNCTION("IMPORTRANGE(""https://docs.google.com/spreadsheets/d/11923uPwbBZFjjGgGUA6NLw09EwE0CqkOc4q9oUmW1yo/edit?usp=sharing"",""เชียงราย!J114"")"),0)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IFERROR(__xludf.DUMMYFUNCTION("IMPORTRANGE(""https://docs.google.com/spreadsheets/d/11923uPwbBZFjjGgGUA6NLw09EwE0CqkOc4q9oUmW1yo/edit?usp=sharing"",""เชียงราย!J119"")"),0)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IFERROR(__xludf.DUMMYFUNCTION("IMPORTRANGE(""https://docs.google.com/spreadsheets/d/11923uPwbBZFjjGgGUA6NLw09EwE0CqkOc4q9oUmW1yo/edit?usp=sharing"",""เชียงราย!J120"")"),1)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IFERROR(__xludf.DUMMYFUNCTION("IMPORTRANGE(""https://docs.google.com/spreadsheets/d/11923uPwbBZFjjGgGUA6NLw09EwE0CqkOc4q9oUmW1yo/edit?usp=sharing"",""เชียงราย!J121"")"),1)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IFERROR(__xludf.DUMMYFUNCTION("IMPORTRANGE(""https://docs.google.com/spreadsheets/d/11923uPwbBZFjjGgGUA6NLw09EwE0CqkOc4q9oUmW1yo/edit?usp=sharing"",""เชียงราย!J122"")"),0)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IFERROR(__xludf.DUMMYFUNCTION("IMPORTRANGE(""https://docs.google.com/spreadsheets/d/11923uPwbBZFjjGgGUA6NLw09EwE0CqkOc4q9oUmW1yo/edit?usp=sharing"",""เชียงราย!I124"")"),60000)</f>
        <v>60000</v>
      </c>
      <c r="J199" s="188">
        <f ca="1">IFERROR(__xludf.DUMMYFUNCTION("IMPORTRANGE(""https://docs.google.com/spreadsheets/d/11923uPwbBZFjjGgGUA6NLw09EwE0CqkOc4q9oUmW1yo/edit?usp=sharing"",""เชียงราย!J124"")"),0)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IFERROR(__xludf.DUMMYFUNCTION("IMPORTRANGE(""https://docs.google.com/spreadsheets/d/11923uPwbBZFjjGgGUA6NLw09EwE0CqkOc4q9oUmW1yo/edit?usp=sharing"",""เชียงราย!I125"")"),60000)</f>
        <v>60000</v>
      </c>
      <c r="J200" s="188">
        <f ca="1">IFERROR(__xludf.DUMMYFUNCTION("IMPORTRANGE(""https://docs.google.com/spreadsheets/d/11923uPwbBZFjjGgGUA6NLw09EwE0CqkOc4q9oUmW1yo/edit?usp=sharing"",""เชียงราย!J125"")"),0)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IFERROR(__xludf.DUMMYFUNCTION("IMPORTRANGE(""https://docs.google.com/spreadsheets/d/11923uPwbBZFjjGgGUA6NLw09EwE0CqkOc4q9oUmW1yo/edit?usp=sharing"",""เชียงราย!I126"")"),15)</f>
        <v>15</v>
      </c>
      <c r="J201" s="188">
        <f ca="1">IFERROR(__xludf.DUMMYFUNCTION("IMPORTRANGE(""https://docs.google.com/spreadsheets/d/11923uPwbBZFjjGgGUA6NLw09EwE0CqkOc4q9oUmW1yo/edit?usp=sharing"",""เชียงราย!J126"")"),15)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IFERROR(__xludf.DUMMYFUNCTION("IMPORTRANGE(""https://docs.google.com/spreadsheets/d/11923uPwbBZFjjGgGUA6NLw09EwE0CqkOc4q9oUmW1yo/edit?usp=sharing"",""เชียงราย!J127"")"),0)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IFERROR(__xludf.DUMMYFUNCTION("IMPORTRANGE(""https://docs.google.com/spreadsheets/d/11923uPwbBZFjjGgGUA6NLw09EwE0CqkOc4q9oUmW1yo/edit?usp=sharing"",""เชียงราย!J128"")"),0)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IFERROR(__xludf.DUMMYFUNCTION("IMPORTRANGE(""https://docs.google.com/spreadsheets/d/11923uPwbBZFjjGgGUA6NLw09EwE0CqkOc4q9oUmW1yo/edit?usp=sharing"",""เชียงราย!I129"")"),0)</f>
        <v>0</v>
      </c>
      <c r="J204" s="282">
        <f ca="1">IFERROR(__xludf.DUMMYFUNCTION("IMPORTRANGE(""https://docs.google.com/spreadsheets/d/11923uPwbBZFjjGgGUA6NLw09EwE0CqkOc4q9oUmW1yo/edit?usp=sharing"",""เชียงราย!J129"")"),0)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IFERROR(__xludf.DUMMYFUNCTION("IMPORTRANGE(""https://docs.google.com/spreadsheets/d/11923uPwbBZFjjGgGUA6NLw09EwE0CqkOc4q9oUmW1yo/edit?usp=sharing"",""เชียงราย!J134"")"),0)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IFERROR(__xludf.DUMMYFUNCTION("IMPORTRANGE(""https://docs.google.com/spreadsheets/d/11923uPwbBZFjjGgGUA6NLw09EwE0CqkOc4q9oUmW1yo/edit?usp=sharing"",""เชียงราย!J135"")"),0)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IFERROR(__xludf.DUMMYFUNCTION("IMPORTRANGE(""https://docs.google.com/spreadsheets/d/11923uPwbBZFjjGgGUA6NLw09EwE0CqkOc4q9oUmW1yo/edit?usp=sharing"",""เชียงราย!J136"")"),0)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IFERROR(__xludf.DUMMYFUNCTION("IMPORTRANGE(""https://docs.google.com/spreadsheets/d/11923uPwbBZFjjGgGUA6NLw09EwE0CqkOc4q9oUmW1yo/edit?usp=sharing"",""เชียงราย!J137"")"),0)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IFERROR(__xludf.DUMMYFUNCTION("IMPORTRANGE(""https://docs.google.com/spreadsheets/d/11923uPwbBZFjjGgGUA6NLw09EwE0CqkOc4q9oUmW1yo/edit?usp=sharing"",""เชียงราย!I138"")"),0)</f>
        <v>0</v>
      </c>
      <c r="J213" s="203">
        <f ca="1">IFERROR(__xludf.DUMMYFUNCTION("IMPORTRANGE(""https://docs.google.com/spreadsheets/d/11923uPwbBZFjjGgGUA6NLw09EwE0CqkOc4q9oUmW1yo/edit?usp=sharing"",""เชียงราย!J138"")"),0)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IFERROR(__xludf.DUMMYFUNCTION("IMPORTRANGE(""https://docs.google.com/spreadsheets/d/11923uPwbBZFjjGgGUA6NLw09EwE0CqkOc4q9oUmW1yo/edit?usp=sharing"",""เชียงราย!I140"")"),0)</f>
        <v>0</v>
      </c>
      <c r="J215" s="203">
        <f ca="1">IFERROR(__xludf.DUMMYFUNCTION("IMPORTRANGE(""https://docs.google.com/spreadsheets/d/11923uPwbBZFjjGgGUA6NLw09EwE0CqkOc4q9oUmW1yo/edit?usp=sharing"",""เชียงราย!J140"")"),0)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IFERROR(__xludf.DUMMYFUNCTION("IMPORTRANGE(""https://docs.google.com/spreadsheets/d/11923uPwbBZFjjGgGUA6NLw09EwE0CqkOc4q9oUmW1yo/edit?usp=sharing"",""เชียงราย!I141"")"),0)</f>
        <v>0</v>
      </c>
      <c r="J216" s="203">
        <f ca="1">IFERROR(__xludf.DUMMYFUNCTION("IMPORTRANGE(""https://docs.google.com/spreadsheets/d/11923uPwbBZFjjGgGUA6NLw09EwE0CqkOc4q9oUmW1yo/edit?usp=sharing"",""เชียงราย!J141"")"),0)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IFERROR(__xludf.DUMMYFUNCTION("IMPORTRANGE(""https://docs.google.com/spreadsheets/d/11923uPwbBZFjjGgGUA6NLw09EwE0CqkOc4q9oUmW1yo/edit?usp=sharing"",""เชียงราย!J142"")"),0)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IFERROR(__xludf.DUMMYFUNCTION("IMPORTRANGE(""https://docs.google.com/spreadsheets/d/11923uPwbBZFjjGgGUA6NLw09EwE0CqkOc4q9oUmW1yo/edit?usp=sharing"",""เชียงราย!J143"")"),0)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IFERROR(__xludf.DUMMYFUNCTION("IMPORTRANGE(""https://docs.google.com/spreadsheets/d/11923uPwbBZFjjGgGUA6NLw09EwE0CqkOc4q9oUmW1yo/edit?usp=sharing"",""เชียงราย!I144"")"),14)</f>
        <v>14</v>
      </c>
      <c r="J219" s="266">
        <f ca="1">IFERROR(__xludf.DUMMYFUNCTION("IMPORTRANGE(""https://docs.google.com/spreadsheets/d/11923uPwbBZFjjGgGUA6NLw09EwE0CqkOc4q9oUmW1yo/edit?usp=sharing"",""เชียงราย!J144"")"),14)</f>
        <v>14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20210</v>
      </c>
      <c r="M220" s="151">
        <f t="shared" ca="1" si="72"/>
        <v>20210</v>
      </c>
      <c r="N220" s="151">
        <f t="shared" ca="1" si="72"/>
        <v>19940</v>
      </c>
      <c r="O220" s="150">
        <f t="shared" ref="O220:O222" ca="1" si="73">IF(L220&gt;0,N220*100/L220,0)</f>
        <v>98.66402770905492</v>
      </c>
      <c r="P220" s="150">
        <f t="shared" ref="P220:P222" ca="1" si="74">IF(M220&gt;0,N220*100/M220,0)</f>
        <v>98.66402770905492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20210</v>
      </c>
      <c r="M222" s="87">
        <f t="shared" ca="1" si="76"/>
        <v>20210</v>
      </c>
      <c r="N222" s="87">
        <f t="shared" ca="1" si="76"/>
        <v>19940</v>
      </c>
      <c r="O222" s="155">
        <f t="shared" ca="1" si="73"/>
        <v>98.66402770905492</v>
      </c>
      <c r="P222" s="155">
        <f t="shared" ca="1" si="74"/>
        <v>98.66402770905492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IFERROR(__xludf.DUMMYFUNCTION("IMPORTRANGE(""https://docs.google.com/spreadsheets/d/1Yj_ptqi66GCucihVvJfMjLAmec39IyEx_6qawtMGysU/edit?usp=sharing"",""สบก!BS21"")"),20210)</f>
        <v>20210</v>
      </c>
      <c r="N224" s="168">
        <f ca="1">IFERROR(__xludf.DUMMYFUNCTION("IMPORTRANGE(""https://docs.google.com/spreadsheets/d/1Yj_ptqi66GCucihVvJfMjLAmec39IyEx_6qawtMGysU/edit?usp=sharing"",""สบก!BT21"")"),19940)</f>
        <v>19940</v>
      </c>
      <c r="O224" s="168">
        <f ca="1">IF(L224&gt;0,N224*100/L224,0)</f>
        <v>98.66402770905492</v>
      </c>
      <c r="P224" s="168">
        <f ca="1">IF(M224&gt;0,N224*100/M224,0)</f>
        <v>98.66402770905492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IFERROR(__xludf.DUMMYFUNCTION("IMPORTRANGE(""https://docs.google.com/spreadsheets/d/1Yj_ptqi66GCucihVvJfMjLAmec39IyEx_6qawtMGysU/edit?usp=sharing"",""สบก!BO21"")"),0)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IFERROR(__xludf.DUMMYFUNCTION("IMPORTRANGE(""https://docs.google.com/spreadsheets/d/1Yj_ptqi66GCucihVvJfMjLAmec39IyEx_6qawtMGysU/edit?usp=sharing"",""สบก!BP21"")"),20210)</f>
        <v>20210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IFERROR(__xludf.DUMMYFUNCTION("IMPORTRANGE(""https://docs.google.com/spreadsheets/d/1Yj_ptqi66GCucihVvJfMjLAmec39IyEx_6qawtMGysU/edit?usp=sharing"",""สบก!BQ21"")"),0)</f>
        <v>0</v>
      </c>
      <c r="M228" s="49"/>
      <c r="N228" s="49">
        <f ca="1">IFERROR(__xludf.DUMMYFUNCTION("IMPORTRANGE(""https://docs.google.com/spreadsheets/d/1Yj_ptqi66GCucihVvJfMjLAmec39IyEx_6qawtMGysU/edit?usp=sharing"",""สบก!BU21"")"),0)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IFERROR(__xludf.DUMMYFUNCTION("IMPORTRANGE(""https://docs.google.com/spreadsheets/d/11923uPwbBZFjjGgGUA6NLw09EwE0CqkOc4q9oUmW1yo/edit?usp=sharing"",""เชียงราย!I149"")"),14)</f>
        <v>14</v>
      </c>
      <c r="J229" s="266">
        <f ca="1">IFERROR(__xludf.DUMMYFUNCTION("IMPORTRANGE(""https://docs.google.com/spreadsheets/d/11923uPwbBZFjjGgGUA6NLw09EwE0CqkOc4q9oUmW1yo/edit?usp=sharing"",""เชียงราย!J149"")"),14)</f>
        <v>14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IFERROR(__xludf.DUMMYFUNCTION("IMPORTRANGE(""https://docs.google.com/spreadsheets/d/11923uPwbBZFjjGgGUA6NLw09EwE0CqkOc4q9oUmW1yo/edit?usp=sharing"",""เชียงราย!J151"")"),0)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IFERROR(__xludf.DUMMYFUNCTION("IMPORTRANGE(""https://docs.google.com/spreadsheets/d/11923uPwbBZFjjGgGUA6NLw09EwE0CqkOc4q9oUmW1yo/edit?usp=sharing"",""เชียงราย!J152"")"),1)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IFERROR(__xludf.DUMMYFUNCTION("IMPORTRANGE(""https://docs.google.com/spreadsheets/d/11923uPwbBZFjjGgGUA6NLw09EwE0CqkOc4q9oUmW1yo/edit?usp=sharing"",""เชียงราย!J153"")"),1)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IFERROR(__xludf.DUMMYFUNCTION("IMPORTRANGE(""https://docs.google.com/spreadsheets/d/11923uPwbBZFjjGgGUA6NLw09EwE0CqkOc4q9oUmW1yo/edit?usp=sharing"",""เชียงราย!J154"")"),1)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IFERROR(__xludf.DUMMYFUNCTION("IMPORTRANGE(""https://docs.google.com/spreadsheets/d/11923uPwbBZFjjGgGUA6NLw09EwE0CqkOc4q9oUmW1yo/edit?usp=sharing"",""เชียงราย!I155"")"),14)</f>
        <v>14</v>
      </c>
      <c r="J235" s="188">
        <f ca="1">IFERROR(__xludf.DUMMYFUNCTION("IMPORTRANGE(""https://docs.google.com/spreadsheets/d/11923uPwbBZFjjGgGUA6NLw09EwE0CqkOc4q9oUmW1yo/edit?usp=sharing"",""เชียงราย!J155"")"),14)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IFERROR(__xludf.DUMMYFUNCTION("IMPORTRANGE(""https://docs.google.com/spreadsheets/d/11923uPwbBZFjjGgGUA6NLw09EwE0CqkOc4q9oUmW1yo/edit?usp=sharing"",""เชียงราย!J156"")"),0)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IFERROR(__xludf.DUMMYFUNCTION("IMPORTRANGE(""https://docs.google.com/spreadsheets/d/11923uPwbBZFjjGgGUA6NLw09EwE0CqkOc4q9oUmW1yo/edit?usp=sharing"",""เชียงราย!J157"")"),0)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IFERROR(__xludf.DUMMYFUNCTION("IMPORTRANGE(""https://docs.google.com/spreadsheets/d/11923uPwbBZFjjGgGUA6NLw09EwE0CqkOc4q9oUmW1yo/edit?usp=sharing"",""เชียงราย!I158"")"),0)</f>
        <v>0</v>
      </c>
      <c r="J238" s="266">
        <f ca="1">IFERROR(__xludf.DUMMYFUNCTION("IMPORTRANGE(""https://docs.google.com/spreadsheets/d/11923uPwbBZFjjGgGUA6NLw09EwE0CqkOc4q9oUmW1yo/edit?usp=sharing"",""เชียงราย!J158"")"),0)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IFERROR(__xludf.DUMMYFUNCTION("IMPORTRANGE(""https://docs.google.com/spreadsheets/d/11923uPwbBZFjjGgGUA6NLw09EwE0CqkOc4q9oUmW1yo/edit?usp=sharing"",""เชียงราย!J159"")"),"")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IFERROR(__xludf.DUMMYFUNCTION("IMPORTRANGE(""https://docs.google.com/spreadsheets/d/11923uPwbBZFjjGgGUA6NLw09EwE0CqkOc4q9oUmW1yo/edit?usp=sharing"",""เชียงราย!J161"")"),0)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IFERROR(__xludf.DUMMYFUNCTION("IMPORTRANGE(""https://docs.google.com/spreadsheets/d/11923uPwbBZFjjGgGUA6NLw09EwE0CqkOc4q9oUmW1yo/edit?usp=sharing"",""เชียงราย!J162"")"),0)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IFERROR(__xludf.DUMMYFUNCTION("IMPORTRANGE(""https://docs.google.com/spreadsheets/d/11923uPwbBZFjjGgGUA6NLw09EwE0CqkOc4q9oUmW1yo/edit?usp=sharing"",""เชียงราย!J163"")"),0)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IFERROR(__xludf.DUMMYFUNCTION("IMPORTRANGE(""https://docs.google.com/spreadsheets/d/11923uPwbBZFjjGgGUA6NLw09EwE0CqkOc4q9oUmW1yo/edit?usp=sharing"",""เชียงราย!I164"")"),0)</f>
        <v>0</v>
      </c>
      <c r="J244" s="187">
        <f ca="1">IFERROR(__xludf.DUMMYFUNCTION("IMPORTRANGE(""https://docs.google.com/spreadsheets/d/11923uPwbBZFjjGgGUA6NLw09EwE0CqkOc4q9oUmW1yo/edit?usp=sharing"",""เชียงราย!J164"")"),0)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IFERROR(__xludf.DUMMYFUNCTION("IMPORTRANGE(""https://docs.google.com/spreadsheets/d/11923uPwbBZFjjGgGUA6NLw09EwE0CqkOc4q9oUmW1yo/edit?usp=sharing"",""เชียงราย!J165"")"),0)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IFERROR(__xludf.DUMMYFUNCTION("IMPORTRANGE(""https://docs.google.com/spreadsheets/d/11923uPwbBZFjjGgGUA6NLw09EwE0CqkOc4q9oUmW1yo/edit?usp=sharing"",""เชียงราย!J166"")"),0)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IFERROR(__xludf.DUMMYFUNCTION("IMPORTRANGE(""https://docs.google.com/spreadsheets/d/11923uPwbBZFjjGgGUA6NLw09EwE0CqkOc4q9oUmW1yo/edit?usp=sharing"",""เชียงราย!I169"")"),20)</f>
        <v>20</v>
      </c>
      <c r="J249" s="314">
        <f ca="1">IFERROR(__xludf.DUMMYFUNCTION("IMPORTRANGE(""https://docs.google.com/spreadsheets/d/11923uPwbBZFjjGgGUA6NLw09EwE0CqkOc4q9oUmW1yo/edit?usp=sharing"",""เชียงราย!J169"")"),20)</f>
        <v>20</v>
      </c>
      <c r="K249" s="315">
        <f ca="1">IF(I249&gt;0,J249*100/I249,0)</f>
        <v>100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71400</v>
      </c>
      <c r="M250" s="151">
        <f t="shared" ca="1" si="77"/>
        <v>37000</v>
      </c>
      <c r="N250" s="151">
        <f t="shared" ca="1" si="77"/>
        <v>32990</v>
      </c>
      <c r="O250" s="150">
        <f t="shared" ref="O250:O252" ca="1" si="78">IF(L250&gt;0,N250*100/L250,0)</f>
        <v>46.20448179271709</v>
      </c>
      <c r="P250" s="150">
        <f t="shared" ref="P250:P252" ca="1" si="79">IF(M250&gt;0,N250*100/M250,0)</f>
        <v>89.162162162162161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71400</v>
      </c>
      <c r="M252" s="87">
        <f t="shared" ca="1" si="81"/>
        <v>37000</v>
      </c>
      <c r="N252" s="87">
        <f t="shared" ca="1" si="81"/>
        <v>32990</v>
      </c>
      <c r="O252" s="155">
        <f t="shared" ca="1" si="78"/>
        <v>46.20448179271709</v>
      </c>
      <c r="P252" s="155">
        <f t="shared" ca="1" si="79"/>
        <v>89.162162162162161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IFERROR(__xludf.DUMMYFUNCTION("IMPORTRANGE(""https://docs.google.com/spreadsheets/d/1Yj_ptqi66GCucihVvJfMjLAmec39IyEx_6qawtMGysU/edit?usp=sharing"",""สบก!CB21"")"),37000)</f>
        <v>37000</v>
      </c>
      <c r="N254" s="168">
        <f ca="1">IFERROR(__xludf.DUMMYFUNCTION("IMPORTRANGE(""https://docs.google.com/spreadsheets/d/1Yj_ptqi66GCucihVvJfMjLAmec39IyEx_6qawtMGysU/edit?usp=sharing"",""สบก!CC21"")"),32990)</f>
        <v>32990</v>
      </c>
      <c r="O254" s="168">
        <f ca="1">IF(L254&gt;0,N254*100/L254,0)</f>
        <v>46.20448179271709</v>
      </c>
      <c r="P254" s="168">
        <f ca="1">IF(M254&gt;0,N254*100/M254,0)</f>
        <v>89.162162162162161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IFERROR(__xludf.DUMMYFUNCTION("IMPORTRANGE(""https://docs.google.com/spreadsheets/d/1Yj_ptqi66GCucihVvJfMjLAmec39IyEx_6qawtMGysU/edit?usp=sharing"",""สบก!BX21"")"),0)</f>
        <v>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IFERROR(__xludf.DUMMYFUNCTION("IMPORTRANGE(""https://docs.google.com/spreadsheets/d/1Yj_ptqi66GCucihVvJfMjLAmec39IyEx_6qawtMGysU/edit?usp=sharing"",""สบก!BY21"")"),71400)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IFERROR(__xludf.DUMMYFUNCTION("IMPORTRANGE(""https://docs.google.com/spreadsheets/d/1Yj_ptqi66GCucihVvJfMjLAmec39IyEx_6qawtMGysU/edit?usp=sharing"",""สบก!BZ21"")"),0)</f>
        <v>0</v>
      </c>
      <c r="M258" s="49"/>
      <c r="N258" s="49">
        <f ca="1">IFERROR(__xludf.DUMMYFUNCTION("IMPORTRANGE(""https://docs.google.com/spreadsheets/d/1Yj_ptqi66GCucihVvJfMjLAmec39IyEx_6qawtMGysU/edit?usp=sharing"",""สบก!CD21"")"),0)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IFERROR(__xludf.DUMMYFUNCTION("IMPORTRANGE(""https://docs.google.com/spreadsheets/d/11923uPwbBZFjjGgGUA6NLw09EwE0CqkOc4q9oUmW1yo/edit?usp=sharing"",""เชียงราย!J175"")"),0)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IFERROR(__xludf.DUMMYFUNCTION("IMPORTRANGE(""https://docs.google.com/spreadsheets/d/11923uPwbBZFjjGgGUA6NLw09EwE0CqkOc4q9oUmW1yo/edit?usp=sharing"",""เชียงราย!J176"")"),1)</f>
        <v>1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IFERROR(__xludf.DUMMYFUNCTION("IMPORTRANGE(""https://docs.google.com/spreadsheets/d/11923uPwbBZFjjGgGUA6NLw09EwE0CqkOc4q9oUmW1yo/edit?usp=sharing"",""เชียงราย!J177"")"),1)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IFERROR(__xludf.DUMMYFUNCTION("IMPORTRANGE(""https://docs.google.com/spreadsheets/d/11923uPwbBZFjjGgGUA6NLw09EwE0CqkOc4q9oUmW1yo/edit?usp=sharing"",""เชียงราย!J178"")"),1)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IFERROR(__xludf.DUMMYFUNCTION("IMPORTRANGE(""https://docs.google.com/spreadsheets/d/11923uPwbBZFjjGgGUA6NLw09EwE0CqkOc4q9oUmW1yo/edit?usp=sharing"",""เชียงราย!I179"")"),1)</f>
        <v>1</v>
      </c>
      <c r="J264" s="188">
        <f ca="1">IFERROR(__xludf.DUMMYFUNCTION("IMPORTRANGE(""https://docs.google.com/spreadsheets/d/11923uPwbBZFjjGgGUA6NLw09EwE0CqkOc4q9oUmW1yo/edit?usp=sharing"",""เชียงราย!J179"")"),1)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IFERROR(__xludf.DUMMYFUNCTION("IMPORTRANGE(""https://docs.google.com/spreadsheets/d/11923uPwbBZFjjGgGUA6NLw09EwE0CqkOc4q9oUmW1yo/edit?usp=sharing"",""เชียงราย!I180"")"),20)</f>
        <v>20</v>
      </c>
      <c r="J265" s="188">
        <f ca="1">IFERROR(__xludf.DUMMYFUNCTION("IMPORTRANGE(""https://docs.google.com/spreadsheets/d/11923uPwbBZFjjGgGUA6NLw09EwE0CqkOc4q9oUmW1yo/edit?usp=sharing"",""เชียงราย!J180"")"),20)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IFERROR(__xludf.DUMMYFUNCTION("IMPORTRANGE(""https://docs.google.com/spreadsheets/d/11923uPwbBZFjjGgGUA6NLw09EwE0CqkOc4q9oUmW1yo/edit?usp=sharing"",""เชียงราย!I181"")"),20)</f>
        <v>20</v>
      </c>
      <c r="J266" s="188">
        <f ca="1">IFERROR(__xludf.DUMMYFUNCTION("IMPORTRANGE(""https://docs.google.com/spreadsheets/d/11923uPwbBZFjjGgGUA6NLw09EwE0CqkOc4q9oUmW1yo/edit?usp=sharing"",""เชียงราย!J181"")"),0)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IFERROR(__xludf.DUMMYFUNCTION("IMPORTRANGE(""https://docs.google.com/spreadsheets/d/11923uPwbBZFjjGgGUA6NLw09EwE0CqkOc4q9oUmW1yo/edit?usp=sharing"",""เชียงราย!I182"")"),1)</f>
        <v>1</v>
      </c>
      <c r="J267" s="188">
        <f ca="1">IFERROR(__xludf.DUMMYFUNCTION("IMPORTRANGE(""https://docs.google.com/spreadsheets/d/11923uPwbBZFjjGgGUA6NLw09EwE0CqkOc4q9oUmW1yo/edit?usp=sharing"",""เชียงราย!J182"")"),0)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IFERROR(__xludf.DUMMYFUNCTION("IMPORTRANGE(""https://docs.google.com/spreadsheets/d/11923uPwbBZFjjGgGUA6NLw09EwE0CqkOc4q9oUmW1yo/edit?usp=sharing"",""เชียงราย!J183"")"),0)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IFERROR(__xludf.DUMMYFUNCTION("IMPORTRANGE(""https://docs.google.com/spreadsheets/d/11923uPwbBZFjjGgGUA6NLw09EwE0CqkOc4q9oUmW1yo/edit?usp=sharing"",""เชียงราย!J184"")"),0)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IFERROR(__xludf.DUMMYFUNCTION("IMPORTRANGE(""https://docs.google.com/spreadsheets/d/11923uPwbBZFjjGgGUA6NLw09EwE0CqkOc4q9oUmW1yo/edit?usp=sharing"",""เชียงราย!I185"")"),15)</f>
        <v>15</v>
      </c>
      <c r="J270" s="314">
        <f ca="1">IFERROR(__xludf.DUMMYFUNCTION("IMPORTRANGE(""https://docs.google.com/spreadsheets/d/11923uPwbBZFjjGgGUA6NLw09EwE0CqkOc4q9oUmW1yo/edit?usp=sharing"",""เชียงราย!J185"")"),15)</f>
        <v>15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105700</v>
      </c>
      <c r="M271" s="151">
        <f t="shared" ca="1" si="83"/>
        <v>80000</v>
      </c>
      <c r="N271" s="151">
        <f t="shared" ca="1" si="83"/>
        <v>48355</v>
      </c>
      <c r="O271" s="150">
        <f t="shared" ref="O271:O273" ca="1" si="84">IF(L271&gt;0,N271*100/L271,0)</f>
        <v>45.747398297067171</v>
      </c>
      <c r="P271" s="150">
        <f t="shared" ref="P271:P273" ca="1" si="85">IF(M271&gt;0,N271*100/M271,0)</f>
        <v>60.443750000000001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105700</v>
      </c>
      <c r="M273" s="87">
        <f t="shared" ca="1" si="87"/>
        <v>80000</v>
      </c>
      <c r="N273" s="87">
        <f t="shared" ca="1" si="87"/>
        <v>48355</v>
      </c>
      <c r="O273" s="155">
        <f t="shared" ca="1" si="84"/>
        <v>45.747398297067171</v>
      </c>
      <c r="P273" s="155">
        <f t="shared" ca="1" si="85"/>
        <v>60.443750000000001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IFERROR(__xludf.DUMMYFUNCTION("IMPORTRANGE(""https://docs.google.com/spreadsheets/d/1Yj_ptqi66GCucihVvJfMjLAmec39IyEx_6qawtMGysU/edit?usp=sharing"",""สบก!CK21"")"),80000)</f>
        <v>80000</v>
      </c>
      <c r="N275" s="168">
        <f ca="1">IFERROR(__xludf.DUMMYFUNCTION("IMPORTRANGE(""https://docs.google.com/spreadsheets/d/1Yj_ptqi66GCucihVvJfMjLAmec39IyEx_6qawtMGysU/edit?usp=sharing"",""สบก!CL21"")"),48355)</f>
        <v>48355</v>
      </c>
      <c r="O275" s="168">
        <f ca="1">IF(L275&gt;0,N275*100/L275,0)</f>
        <v>45.747398297067171</v>
      </c>
      <c r="P275" s="168">
        <f ca="1">IF(M275&gt;0,N275*100/M275,0)</f>
        <v>60.443750000000001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IFERROR(__xludf.DUMMYFUNCTION("IMPORTRANGE(""https://docs.google.com/spreadsheets/d/1Yj_ptqi66GCucihVvJfMjLAmec39IyEx_6qawtMGysU/edit?usp=sharing"",""สบก!CG21"")"),0)</f>
        <v>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IFERROR(__xludf.DUMMYFUNCTION("IMPORTRANGE(""https://docs.google.com/spreadsheets/d/1Yj_ptqi66GCucihVvJfMjLAmec39IyEx_6qawtMGysU/edit?usp=sharing"",""สบก!CH21"")"),105700)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IFERROR(__xludf.DUMMYFUNCTION("IMPORTRANGE(""https://docs.google.com/spreadsheets/d/1Yj_ptqi66GCucihVvJfMjLAmec39IyEx_6qawtMGysU/edit?usp=sharing"",""สบก!CI21"")"),0)</f>
        <v>0</v>
      </c>
      <c r="M279" s="49"/>
      <c r="N279" s="49">
        <f ca="1">IFERROR(__xludf.DUMMYFUNCTION("IMPORTRANGE(""https://docs.google.com/spreadsheets/d/1Yj_ptqi66GCucihVvJfMjLAmec39IyEx_6qawtMGysU/edit?usp=sharing"",""สบก!CM21"")"),0)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IFERROR(__xludf.DUMMYFUNCTION("IMPORTRANGE(""https://docs.google.com/spreadsheets/d/11923uPwbBZFjjGgGUA6NLw09EwE0CqkOc4q9oUmW1yo/edit?usp=sharing"",""เชียงราย!J191"")"),0)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IFERROR(__xludf.DUMMYFUNCTION("IMPORTRANGE(""https://docs.google.com/spreadsheets/d/11923uPwbBZFjjGgGUA6NLw09EwE0CqkOc4q9oUmW1yo/edit?usp=sharing"",""เชียงราย!J192"")"),1)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IFERROR(__xludf.DUMMYFUNCTION("IMPORTRANGE(""https://docs.google.com/spreadsheets/d/11923uPwbBZFjjGgGUA6NLw09EwE0CqkOc4q9oUmW1yo/edit?usp=sharing"",""เชียงราย!J193"")"),1)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IFERROR(__xludf.DUMMYFUNCTION("IMPORTRANGE(""https://docs.google.com/spreadsheets/d/11923uPwbBZFjjGgGUA6NLw09EwE0CqkOc4q9oUmW1yo/edit?usp=sharing"",""เชียงราย!J194"")"),1)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IFERROR(__xludf.DUMMYFUNCTION("IMPORTRANGE(""https://docs.google.com/spreadsheets/d/11923uPwbBZFjjGgGUA6NLw09EwE0CqkOc4q9oUmW1yo/edit?usp=sharing"",""เชียงราย!I195"")"),15)</f>
        <v>15</v>
      </c>
      <c r="J285" s="188">
        <f ca="1">IFERROR(__xludf.DUMMYFUNCTION("IMPORTRANGE(""https://docs.google.com/spreadsheets/d/11923uPwbBZFjjGgGUA6NLw09EwE0CqkOc4q9oUmW1yo/edit?usp=sharing"",""เชียงราย!J195"")"),15)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IFERROR(__xludf.DUMMYFUNCTION("IMPORTRANGE(""https://docs.google.com/spreadsheets/d/11923uPwbBZFjjGgGUA6NLw09EwE0CqkOc4q9oUmW1yo/edit?usp=sharing"",""เชียงราย!J196"")"),0)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IFERROR(__xludf.DUMMYFUNCTION("IMPORTRANGE(""https://docs.google.com/spreadsheets/d/11923uPwbBZFjjGgGUA6NLw09EwE0CqkOc4q9oUmW1yo/edit?usp=sharing"",""เชียงราย!J197"")"),0)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IFERROR(__xludf.DUMMYFUNCTION("IMPORTRANGE(""https://docs.google.com/spreadsheets/d/11923uPwbBZFjjGgGUA6NLw09EwE0CqkOc4q9oUmW1yo/edit?usp=sharing"",""เชียงราย!I199"")"),0)</f>
        <v>0</v>
      </c>
      <c r="J289" s="314">
        <f ca="1">IFERROR(__xludf.DUMMYFUNCTION("IMPORTRANGE(""https://docs.google.com/spreadsheets/d/11923uPwbBZFjjGgGUA6NLw09EwE0CqkOc4q9oUmW1yo/edit?usp=sharing"",""เชียงราย!J199"")"),0)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IFERROR(__xludf.DUMMYFUNCTION("IMPORTRANGE(""https://docs.google.com/spreadsheets/d/1Yj_ptqi66GCucihVvJfMjLAmec39IyEx_6qawtMGysU/edit?usp=sharing"",""สบก!CT21"")"),0)</f>
        <v>0</v>
      </c>
      <c r="N294" s="168">
        <f ca="1">IFERROR(__xludf.DUMMYFUNCTION("IMPORTRANGE(""https://docs.google.com/spreadsheets/d/1Yj_ptqi66GCucihVvJfMjLAmec39IyEx_6qawtMGysU/edit?usp=sharing"",""สบก!CU21"")"),0)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IFERROR(__xludf.DUMMYFUNCTION("IMPORTRANGE(""https://docs.google.com/spreadsheets/d/1Yj_ptqi66GCucihVvJfMjLAmec39IyEx_6qawtMGysU/edit?usp=sharing"",""สบก!CP21"")"),0)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IFERROR(__xludf.DUMMYFUNCTION("IMPORTRANGE(""https://docs.google.com/spreadsheets/d/1Yj_ptqi66GCucihVvJfMjLAmec39IyEx_6qawtMGysU/edit?usp=sharing"",""สบก!CQ21"")"),0)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IFERROR(__xludf.DUMMYFUNCTION("IMPORTRANGE(""https://docs.google.com/spreadsheets/d/1Yj_ptqi66GCucihVvJfMjLAmec39IyEx_6qawtMGysU/edit?usp=sharing"",""สบก!CR21"")"),0)</f>
        <v>0</v>
      </c>
      <c r="M298" s="49"/>
      <c r="N298" s="49">
        <f ca="1">IFERROR(__xludf.DUMMYFUNCTION("IMPORTRANGE(""https://docs.google.com/spreadsheets/d/1Yj_ptqi66GCucihVvJfMjLAmec39IyEx_6qawtMGysU/edit?usp=sharing"",""สบก!CV21"")"),0)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IFERROR(__xludf.DUMMYFUNCTION("IMPORTRANGE(""https://docs.google.com/spreadsheets/d/11923uPwbBZFjjGgGUA6NLw09EwE0CqkOc4q9oUmW1yo/edit?usp=sharing"",""เชียงราย!J205"")"),0)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IFERROR(__xludf.DUMMYFUNCTION("IMPORTRANGE(""https://docs.google.com/spreadsheets/d/11923uPwbBZFjjGgGUA6NLw09EwE0CqkOc4q9oUmW1yo/edit?usp=sharing"",""เชียงราย!J206"")"),0)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IFERROR(__xludf.DUMMYFUNCTION("IMPORTRANGE(""https://docs.google.com/spreadsheets/d/11923uPwbBZFjjGgGUA6NLw09EwE0CqkOc4q9oUmW1yo/edit?usp=sharing"",""เชียงราย!J207"")"),0)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IFERROR(__xludf.DUMMYFUNCTION("IMPORTRANGE(""https://docs.google.com/spreadsheets/d/11923uPwbBZFjjGgGUA6NLw09EwE0CqkOc4q9oUmW1yo/edit?usp=sharing"",""เชียงราย!J208"")"),0)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IFERROR(__xludf.DUMMYFUNCTION("IMPORTRANGE(""https://docs.google.com/spreadsheets/d/11923uPwbBZFjjGgGUA6NLw09EwE0CqkOc4q9oUmW1yo/edit?usp=sharing"",""เชียงราย!I209"")"),0)</f>
        <v>0</v>
      </c>
      <c r="J304" s="203">
        <f ca="1">IFERROR(__xludf.DUMMYFUNCTION("IMPORTRANGE(""https://docs.google.com/spreadsheets/d/11923uPwbBZFjjGgGUA6NLw09EwE0CqkOc4q9oUmW1yo/edit?usp=sharing"",""เชียงราย!J209"")"),0)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IFERROR(__xludf.DUMMYFUNCTION("IMPORTRANGE(""https://docs.google.com/spreadsheets/d/11923uPwbBZFjjGgGUA6NLw09EwE0CqkOc4q9oUmW1yo/edit?usp=sharing"",""เชียงราย!I211"")"),0)</f>
        <v>0</v>
      </c>
      <c r="J306" s="203">
        <f ca="1">IFERROR(__xludf.DUMMYFUNCTION("IMPORTRANGE(""https://docs.google.com/spreadsheets/d/11923uPwbBZFjjGgGUA6NLw09EwE0CqkOc4q9oUmW1yo/edit?usp=sharing"",""เชียงราย!J211"")"),0)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IFERROR(__xludf.DUMMYFUNCTION("IMPORTRANGE(""https://docs.google.com/spreadsheets/d/11923uPwbBZFjjGgGUA6NLw09EwE0CqkOc4q9oUmW1yo/edit?usp=sharing"",""เชียงราย!J212"")"),0)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IFERROR(__xludf.DUMMYFUNCTION("IMPORTRANGE(""https://docs.google.com/spreadsheets/d/11923uPwbBZFjjGgGUA6NLw09EwE0CqkOc4q9oUmW1yo/edit?usp=sharing"",""เชียงราย!J213"")"),0)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IFERROR(__xludf.DUMMYFUNCTION("IMPORTRANGE(""https://docs.google.com/spreadsheets/d/11923uPwbBZFjjGgGUA6NLw09EwE0CqkOc4q9oUmW1yo/edit?usp=sharing"",""เชียงราย!I214"")"),0)</f>
        <v>0</v>
      </c>
      <c r="J309" s="331">
        <f ca="1">IFERROR(__xludf.DUMMYFUNCTION("IMPORTRANGE(""https://docs.google.com/spreadsheets/d/11923uPwbBZFjjGgGUA6NLw09EwE0CqkOc4q9oUmW1yo/edit?usp=sharing"",""เชียงราย!J214"")"),0)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IFERROR(__xludf.DUMMYFUNCTION("IMPORTRANGE(""https://docs.google.com/spreadsheets/d/1Yj_ptqi66GCucihVvJfMjLAmec39IyEx_6qawtMGysU/edit?usp=sharing"",""สบก!DC21"")"),0)</f>
        <v>0</v>
      </c>
      <c r="N314" s="168">
        <f ca="1">IFERROR(__xludf.DUMMYFUNCTION("IMPORTRANGE(""https://docs.google.com/spreadsheets/d/1Yj_ptqi66GCucihVvJfMjLAmec39IyEx_6qawtMGysU/edit?usp=sharing"",""สบก!DD21"")"),0)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IFERROR(__xludf.DUMMYFUNCTION("IMPORTRANGE(""https://docs.google.com/spreadsheets/d/1Yj_ptqi66GCucihVvJfMjLAmec39IyEx_6qawtMGysU/edit?usp=sharing"",""สบก!CY21"")"),0)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IFERROR(__xludf.DUMMYFUNCTION("IMPORTRANGE(""https://docs.google.com/spreadsheets/d/1Yj_ptqi66GCucihVvJfMjLAmec39IyEx_6qawtMGysU/edit?usp=sharing"",""สบก!CZ21"")"),0)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IFERROR(__xludf.DUMMYFUNCTION("IMPORTRANGE(""https://docs.google.com/spreadsheets/d/1Yj_ptqi66GCucihVvJfMjLAmec39IyEx_6qawtMGysU/edit?usp=sharing"",""สบก!DA21"")"),0)</f>
        <v>0</v>
      </c>
      <c r="M318" s="49"/>
      <c r="N318" s="49">
        <f ca="1">IFERROR(__xludf.DUMMYFUNCTION("IMPORTRANGE(""https://docs.google.com/spreadsheets/d/1Yj_ptqi66GCucihVvJfMjLAmec39IyEx_6qawtMGysU/edit?usp=sharing"",""สบก!DE21"")"),0)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IFERROR(__xludf.DUMMYFUNCTION("IMPORTRANGE(""https://docs.google.com/spreadsheets/d/11923uPwbBZFjjGgGUA6NLw09EwE0CqkOc4q9oUmW1yo/edit?usp=sharing"",""เชียงราย!J220"")"),0)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IFERROR(__xludf.DUMMYFUNCTION("IMPORTRANGE(""https://docs.google.com/spreadsheets/d/11923uPwbBZFjjGgGUA6NLw09EwE0CqkOc4q9oUmW1yo/edit?usp=sharing"",""เชียงราย!J221"")"),0)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IFERROR(__xludf.DUMMYFUNCTION("IMPORTRANGE(""https://docs.google.com/spreadsheets/d/11923uPwbBZFjjGgGUA6NLw09EwE0CqkOc4q9oUmW1yo/edit?usp=sharing"",""เชียงราย!J222"")"),0)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IFERROR(__xludf.DUMMYFUNCTION("IMPORTRANGE(""https://docs.google.com/spreadsheets/d/11923uPwbBZFjjGgGUA6NLw09EwE0CqkOc4q9oUmW1yo/edit?usp=sharing"",""เชียงราย!J223"")"),0)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IFERROR(__xludf.DUMMYFUNCTION("IMPORTRANGE(""https://docs.google.com/spreadsheets/d/11923uPwbBZFjjGgGUA6NLw09EwE0CqkOc4q9oUmW1yo/edit?usp=sharing"",""เชียงราย!I224"")"),0)</f>
        <v>0</v>
      </c>
      <c r="J324" s="203">
        <f ca="1">IFERROR(__xludf.DUMMYFUNCTION("IMPORTRANGE(""https://docs.google.com/spreadsheets/d/11923uPwbBZFjjGgGUA6NLw09EwE0CqkOc4q9oUmW1yo/edit?usp=sharing"",""เชียงราย!J224"")"),0)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IFERROR(__xludf.DUMMYFUNCTION("IMPORTRANGE(""https://docs.google.com/spreadsheets/d/11923uPwbBZFjjGgGUA6NLw09EwE0CqkOc4q9oUmW1yo/edit?usp=sharing"",""เชียงราย!J225"")"),0)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IFERROR(__xludf.DUMMYFUNCTION("IMPORTRANGE(""https://docs.google.com/spreadsheets/d/11923uPwbBZFjjGgGUA6NLw09EwE0CqkOc4q9oUmW1yo/edit?usp=sharing"",""เชียงราย!J226"")"),0)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IFERROR(__xludf.DUMMYFUNCTION("IMPORTRANGE(""https://docs.google.com/spreadsheets/d/11923uPwbBZFjjGgGUA6NLw09EwE0CqkOc4q9oUmW1yo/edit?usp=sharing"",""เชียงราย!I228"")"),680)</f>
        <v>680</v>
      </c>
      <c r="J328" s="337">
        <f ca="1">IFERROR(__xludf.DUMMYFUNCTION("IMPORTRANGE(""https://docs.google.com/spreadsheets/d/11923uPwbBZFjjGgGUA6NLw09EwE0CqkOc4q9oUmW1yo/edit?usp=sharing"",""เชียงราย!J228"")"),157)</f>
        <v>157</v>
      </c>
      <c r="K328" s="315">
        <f ca="1">IF(I328&gt;0,J328*100/I328,0)</f>
        <v>23.088235294117649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1538870</v>
      </c>
      <c r="M329" s="151">
        <f t="shared" ca="1" si="98"/>
        <v>830640</v>
      </c>
      <c r="N329" s="151">
        <f t="shared" ca="1" si="98"/>
        <v>758689</v>
      </c>
      <c r="O329" s="150">
        <f t="shared" ref="O329:O331" ca="1" si="99">IF(L329&gt;0,N329*100/L329,0)</f>
        <v>49.301695399871335</v>
      </c>
      <c r="P329" s="150">
        <f t="shared" ref="P329:P331" ca="1" si="100">IF(M329&gt;0,N329*100/M329,0)</f>
        <v>91.33788404122123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1538870</v>
      </c>
      <c r="M331" s="87">
        <f t="shared" ca="1" si="102"/>
        <v>830640</v>
      </c>
      <c r="N331" s="87">
        <f t="shared" ca="1" si="102"/>
        <v>758689</v>
      </c>
      <c r="O331" s="155">
        <f t="shared" ca="1" si="99"/>
        <v>49.301695399871335</v>
      </c>
      <c r="P331" s="155">
        <f t="shared" ca="1" si="100"/>
        <v>91.33788404122123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1538870</v>
      </c>
      <c r="M333" s="167">
        <f ca="1">IFERROR(__xludf.DUMMYFUNCTION("IMPORTRANGE(""https://docs.google.com/spreadsheets/d/1Yj_ptqi66GCucihVvJfMjLAmec39IyEx_6qawtMGysU/edit?usp=sharing"",""สบก!DL21"")"),830640)</f>
        <v>830640</v>
      </c>
      <c r="N333" s="168">
        <f ca="1">IFERROR(__xludf.DUMMYFUNCTION("IMPORTRANGE(""https://docs.google.com/spreadsheets/d/1Yj_ptqi66GCucihVvJfMjLAmec39IyEx_6qawtMGysU/edit?usp=sharing"",""สบก!DM21"")"),758689)</f>
        <v>758689</v>
      </c>
      <c r="O333" s="168">
        <f ca="1">IF(L333&gt;0,N333*100/L333,0)</f>
        <v>49.301695399871335</v>
      </c>
      <c r="P333" s="168">
        <f ca="1">IF(M333&gt;0,N333*100/M333,0)</f>
        <v>91.33788404122123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IFERROR(__xludf.DUMMYFUNCTION("IMPORTRANGE(""https://docs.google.com/spreadsheets/d/1Yj_ptqi66GCucihVvJfMjLAmec39IyEx_6qawtMGysU/edit?usp=sharing"",""สบก!DH21"")"),831600)</f>
        <v>831600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IFERROR(__xludf.DUMMYFUNCTION("IMPORTRANGE(""https://docs.google.com/spreadsheets/d/1Yj_ptqi66GCucihVvJfMjLAmec39IyEx_6qawtMGysU/edit?usp=sharing"",""สบก!DI21"")"),707270)</f>
        <v>707270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IFERROR(__xludf.DUMMYFUNCTION("IMPORTRANGE(""https://docs.google.com/spreadsheets/d/1Yj_ptqi66GCucihVvJfMjLAmec39IyEx_6qawtMGysU/edit?usp=sharing"",""สบก!DJ21"")"),0)</f>
        <v>0</v>
      </c>
      <c r="M337" s="49"/>
      <c r="N337" s="49">
        <f ca="1">IFERROR(__xludf.DUMMYFUNCTION("IMPORTRANGE(""https://docs.google.com/spreadsheets/d/1Yj_ptqi66GCucihVvJfMjLAmec39IyEx_6qawtMGysU/edit?usp=sharing"",""สบก!DN21"")"),0)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IFERROR(__xludf.DUMMYFUNCTION("IMPORTRANGE(""https://docs.google.com/spreadsheets/d/11923uPwbBZFjjGgGUA6NLw09EwE0CqkOc4q9oUmW1yo/edit?usp=sharing"",""เชียงราย!I234"")"),0)</f>
        <v>0</v>
      </c>
      <c r="J339" s="187">
        <f ca="1">IFERROR(__xludf.DUMMYFUNCTION("IMPORTRANGE(""https://docs.google.com/spreadsheets/d/11923uPwbBZFjjGgGUA6NLw09EwE0CqkOc4q9oUmW1yo/edit?usp=sharing"",""เชียงราย!J234"")"),181)</f>
        <v>181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IFERROR(__xludf.DUMMYFUNCTION("IMPORTRANGE(""https://docs.google.com/spreadsheets/d/11923uPwbBZFjjGgGUA6NLw09EwE0CqkOc4q9oUmW1yo/edit?usp=sharing"",""เชียงราย!I235"")"),3400)</f>
        <v>3400</v>
      </c>
      <c r="J340" s="187">
        <f ca="1">IFERROR(__xludf.DUMMYFUNCTION("IMPORTRANGE(""https://docs.google.com/spreadsheets/d/11923uPwbBZFjjGgGUA6NLw09EwE0CqkOc4q9oUmW1yo/edit?usp=sharing"",""เชียงราย!J235"")"),1194.25)</f>
        <v>1194.25</v>
      </c>
      <c r="K340" s="340">
        <f t="shared" ca="1" si="103"/>
        <v>35.125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IFERROR(__xludf.DUMMYFUNCTION("IMPORTRANGE(""https://docs.google.com/spreadsheets/d/11923uPwbBZFjjGgGUA6NLw09EwE0CqkOc4q9oUmW1yo/edit?usp=sharing"",""เชียงราย!I236"")"),680)</f>
        <v>680</v>
      </c>
      <c r="J341" s="187">
        <f ca="1">IFERROR(__xludf.DUMMYFUNCTION("IMPORTRANGE(""https://docs.google.com/spreadsheets/d/11923uPwbBZFjjGgGUA6NLw09EwE0CqkOc4q9oUmW1yo/edit?usp=sharing"",""เชียงราย!J236"")"),316)</f>
        <v>316</v>
      </c>
      <c r="K341" s="340">
        <f t="shared" ca="1" si="103"/>
        <v>46.470588235294116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IFERROR(__xludf.DUMMYFUNCTION("IMPORTRANGE(""https://docs.google.com/spreadsheets/d/11923uPwbBZFjjGgGUA6NLw09EwE0CqkOc4q9oUmW1yo/edit?usp=sharing"",""เชียงราย!I237"")"),0)</f>
        <v>0</v>
      </c>
      <c r="J342" s="187">
        <f ca="1">IFERROR(__xludf.DUMMYFUNCTION("IMPORTRANGE(""https://docs.google.com/spreadsheets/d/11923uPwbBZFjjGgGUA6NLw09EwE0CqkOc4q9oUmW1yo/edit?usp=sharing"",""เชียงราย!J237"")"),2350.1)</f>
        <v>2350.1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IFERROR(__xludf.DUMMYFUNCTION("IMPORTRANGE(""https://docs.google.com/spreadsheets/d/11923uPwbBZFjjGgGUA6NLw09EwE0CqkOc4q9oUmW1yo/edit?usp=sharing"",""เชียงราย!I238"")"),680)</f>
        <v>680</v>
      </c>
      <c r="J343" s="187">
        <f ca="1">IFERROR(__xludf.DUMMYFUNCTION("IMPORTRANGE(""https://docs.google.com/spreadsheets/d/11923uPwbBZFjjGgGUA6NLw09EwE0CqkOc4q9oUmW1yo/edit?usp=sharing"",""เชียงราย!J238"")"),2)</f>
        <v>2</v>
      </c>
      <c r="K343" s="340">
        <f t="shared" ca="1" si="103"/>
        <v>0.29411764705882354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IFERROR(__xludf.DUMMYFUNCTION("IMPORTRANGE(""https://docs.google.com/spreadsheets/d/11923uPwbBZFjjGgGUA6NLw09EwE0CqkOc4q9oUmW1yo/edit?usp=sharing"",""เชียงราย!I239"")"),0)</f>
        <v>0</v>
      </c>
      <c r="J344" s="187">
        <f ca="1">IFERROR(__xludf.DUMMYFUNCTION("IMPORTRANGE(""https://docs.google.com/spreadsheets/d/11923uPwbBZFjjGgGUA6NLw09EwE0CqkOc4q9oUmW1yo/edit?usp=sharing"",""เชียงราย!J239"")"),9.23)</f>
        <v>9.23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IFERROR(__xludf.DUMMYFUNCTION("IMPORTRANGE(""https://docs.google.com/spreadsheets/d/11923uPwbBZFjjGgGUA6NLw09EwE0CqkOc4q9oUmW1yo/edit?usp=sharing"",""เชียงราย!I240"")"),680)</f>
        <v>680</v>
      </c>
      <c r="J345" s="187">
        <f ca="1">IFERROR(__xludf.DUMMYFUNCTION("IMPORTRANGE(""https://docs.google.com/spreadsheets/d/11923uPwbBZFjjGgGUA6NLw09EwE0CqkOc4q9oUmW1yo/edit?usp=sharing"",""เชียงราย!J240"")"),157)</f>
        <v>157</v>
      </c>
      <c r="K345" s="340">
        <f t="shared" ca="1" si="103"/>
        <v>23.088235294117649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IFERROR(__xludf.DUMMYFUNCTION("IMPORTRANGE(""https://docs.google.com/spreadsheets/d/11923uPwbBZFjjGgGUA6NLw09EwE0CqkOc4q9oUmW1yo/edit?usp=sharing"",""เชียงราย!I241"")"),0)</f>
        <v>0</v>
      </c>
      <c r="J346" s="187">
        <f ca="1">IFERROR(__xludf.DUMMYFUNCTION("IMPORTRANGE(""https://docs.google.com/spreadsheets/d/11923uPwbBZFjjGgGUA6NLw09EwE0CqkOc4q9oUmW1yo/edit?usp=sharing"",""เชียงราย!J241"")"),1083.97)</f>
        <v>1083.97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IFERROR(__xludf.DUMMYFUNCTION("IMPORTRANGE(""https://docs.google.com/spreadsheets/d/11923uPwbBZFjjGgGUA6NLw09EwE0CqkOc4q9oUmW1yo/edit?usp=sharing"",""เชียงราย!L242"")"),2439919)</f>
        <v>2439919</v>
      </c>
      <c r="M347" s="356"/>
      <c r="N347" s="356">
        <f ca="1">IFERROR(__xludf.DUMMYFUNCTION("IMPORTRANGE(""https://docs.google.com/spreadsheets/d/11923uPwbBZFjjGgGUA6NLw09EwE0CqkOc4q9oUmW1yo/edit?usp=sharing"",""เชียงราย!M242"")"),478980)</f>
        <v>478980</v>
      </c>
      <c r="O347" s="356">
        <f ca="1">+IF(L347&gt;0,N347*100/L347,0)</f>
        <v>19.630979553009752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IFERROR(__xludf.DUMMYFUNCTION("IMPORTRANGE(""https://docs.google.com/spreadsheets/d/11923uPwbBZFjjGgGUA6NLw09EwE0CqkOc4q9oUmW1yo/edit?usp=sharing"",""เชียงราย!I244"")"),200)</f>
        <v>200</v>
      </c>
      <c r="J349" s="369">
        <f ca="1">IFERROR(__xludf.DUMMYFUNCTION("IMPORTRANGE(""https://docs.google.com/spreadsheets/d/11923uPwbBZFjjGgGUA6NLw09EwE0CqkOc4q9oUmW1yo/edit?usp=sharing"",""เชียงราย!J244"")"),0)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IFERROR(__xludf.DUMMYFUNCTION("IMPORTRANGE(""https://docs.google.com/spreadsheets/d/11923uPwbBZFjjGgGUA6NLw09EwE0CqkOc4q9oUmW1yo/edit?usp=sharing"",""เชียงราย!L244"")"),532200)</f>
        <v>532200</v>
      </c>
      <c r="M349" s="371"/>
      <c r="N349" s="371">
        <f ca="1">IFERROR(__xludf.DUMMYFUNCTION("IMPORTRANGE(""https://docs.google.com/spreadsheets/d/11923uPwbBZFjjGgGUA6NLw09EwE0CqkOc4q9oUmW1yo/edit?usp=sharing"",""เชียงราย!M244"")"),50485)</f>
        <v>50485</v>
      </c>
      <c r="O349" s="371">
        <f ca="1">+IF(L349&gt;0,N349*100/L349,0)</f>
        <v>9.4860954528372794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IFERROR(__xludf.DUMMYFUNCTION("IMPORTRANGE(""https://docs.google.com/spreadsheets/d/11923uPwbBZFjjGgGUA6NLw09EwE0CqkOc4q9oUmW1yo/edit?usp=sharing"",""เชียงราย!I245"")"),100)</f>
        <v>100</v>
      </c>
      <c r="J350" s="369">
        <f ca="1">IFERROR(__xludf.DUMMYFUNCTION("IMPORTRANGE(""https://docs.google.com/spreadsheets/d/11923uPwbBZFjjGgGUA6NLw09EwE0CqkOc4q9oUmW1yo/edit?usp=sharing"",""เชียงราย!J245"")"),0)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IFERROR(__xludf.DUMMYFUNCTION("IMPORTRANGE(""https://docs.google.com/spreadsheets/d/11923uPwbBZFjjGgGUA6NLw09EwE0CqkOc4q9oUmW1yo/edit?usp=sharing"",""เชียงราย!L246"")"),0)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IFERROR(__xludf.DUMMYFUNCTION("IMPORTRANGE(""https://docs.google.com/spreadsheets/d/11923uPwbBZFjjGgGUA6NLw09EwE0CqkOc4q9oUmW1yo/edit?usp=sharing"",""เชียงราย!M246"")"),0)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IFERROR(__xludf.DUMMYFUNCTION("IMPORTRANGE(""https://docs.google.com/spreadsheets/d/11923uPwbBZFjjGgGUA6NLw09EwE0CqkOc4q9oUmW1yo/edit?usp=sharing"",""เชียงราย!L247"")"),532200)</f>
        <v>532200</v>
      </c>
      <c r="M352" s="165"/>
      <c r="N352" s="164">
        <f ca="1">IFERROR(__xludf.DUMMYFUNCTION("IMPORTRANGE(""https://docs.google.com/spreadsheets/d/11923uPwbBZFjjGgGUA6NLw09EwE0CqkOc4q9oUmW1yo/edit?usp=sharing"",""เชียงราย!M247"")"),50485)</f>
        <v>50485</v>
      </c>
      <c r="O352" s="165">
        <f t="shared" ca="1" si="105"/>
        <v>9.4860954528372794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IFERROR(__xludf.DUMMYFUNCTION("IMPORTRANGE(""https://docs.google.com/spreadsheets/d/11923uPwbBZFjjGgGUA6NLw09EwE0CqkOc4q9oUmW1yo/edit?usp=sharing"",""เชียงราย!L248"")"),0)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IFERROR(__xludf.DUMMYFUNCTION("IMPORTRANGE(""https://docs.google.com/spreadsheets/d/11923uPwbBZFjjGgGUA6NLw09EwE0CqkOc4q9oUmW1yo/edit?usp=sharing"",""เชียงราย!M248"")"),0)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IFERROR(__xludf.DUMMYFUNCTION("IMPORTRANGE(""https://docs.google.com/spreadsheets/d/11923uPwbBZFjjGgGUA6NLw09EwE0CqkOc4q9oUmW1yo/edit?usp=sharing"",""เชียงราย!L249"")"),532200)</f>
        <v>532200</v>
      </c>
      <c r="M354" s="168"/>
      <c r="N354" s="167">
        <f ca="1">IFERROR(__xludf.DUMMYFUNCTION("IMPORTRANGE(""https://docs.google.com/spreadsheets/d/11923uPwbBZFjjGgGUA6NLw09EwE0CqkOc4q9oUmW1yo/edit?usp=sharing"",""เชียงราย!M249"")"),50485)</f>
        <v>50485</v>
      </c>
      <c r="O354" s="168">
        <f t="shared" ca="1" si="105"/>
        <v>9.4860954528372794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IFERROR(__xludf.DUMMYFUNCTION("IMPORTRANGE(""https://docs.google.com/spreadsheets/d/11923uPwbBZFjjGgGUA6NLw09EwE0CqkOc4q9oUmW1yo/edit?usp=sharing"",""เชียงราย!M250"")"),0)</f>
        <v>0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IFERROR(__xludf.DUMMYFUNCTION("IMPORTRANGE(""https://docs.google.com/spreadsheets/d/11923uPwbBZFjjGgGUA6NLw09EwE0CqkOc4q9oUmW1yo/edit?usp=sharing"",""เชียงราย!M251"")"),0)</f>
        <v>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IFERROR(__xludf.DUMMYFUNCTION("IMPORTRANGE(""https://docs.google.com/spreadsheets/d/11923uPwbBZFjjGgGUA6NLw09EwE0CqkOc4q9oUmW1yo/edit?usp=sharing"",""เชียงราย!M252"")"),42000)</f>
        <v>42000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IFERROR(__xludf.DUMMYFUNCTION("IMPORTRANGE(""https://docs.google.com/spreadsheets/d/11923uPwbBZFjjGgGUA6NLw09EwE0CqkOc4q9oUmW1yo/edit?usp=sharing"",""เชียงราย!M253"")"),8485)</f>
        <v>8485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IFERROR(__xludf.DUMMYFUNCTION("IMPORTRANGE(""https://docs.google.com/spreadsheets/d/11923uPwbBZFjjGgGUA6NLw09EwE0CqkOc4q9oUmW1yo/edit?usp=sharing"",""เชียงราย!J255"")"),0)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IFERROR(__xludf.DUMMYFUNCTION("IMPORTRANGE(""https://docs.google.com/spreadsheets/d/11923uPwbBZFjjGgGUA6NLw09EwE0CqkOc4q9oUmW1yo/edit?usp=sharing"",""เชียงราย!J256"")"),1)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IFERROR(__xludf.DUMMYFUNCTION("IMPORTRANGE(""https://docs.google.com/spreadsheets/d/11923uPwbBZFjjGgGUA6NLw09EwE0CqkOc4q9oUmW1yo/edit?usp=sharing"",""เชียงราย!J257"")"),1)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IFERROR(__xludf.DUMMYFUNCTION("IMPORTRANGE(""https://docs.google.com/spreadsheets/d/11923uPwbBZFjjGgGUA6NLw09EwE0CqkOc4q9oUmW1yo/edit?usp=sharing"",""เชียงราย!J258"")"),1)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IFERROR(__xludf.DUMMYFUNCTION("IMPORTRANGE(""https://docs.google.com/spreadsheets/d/11923uPwbBZFjjGgGUA6NLw09EwE0CqkOc4q9oUmW1yo/edit?usp=sharing"",""เชียงราย!J166"")"),0)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IFERROR(__xludf.DUMMYFUNCTION("IMPORTRANGE(""https://docs.google.com/spreadsheets/d/11923uPwbBZFjjGgGUA6NLw09EwE0CqkOc4q9oUmW1yo/edit?usp=sharing"",""เชียงราย!J166"")"),0)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IFERROR(__xludf.DUMMYFUNCTION("IMPORTRANGE(""https://docs.google.com/spreadsheets/d/11923uPwbBZFjjGgGUA6NLw09EwE0CqkOc4q9oUmW1yo/edit?usp=sharing"",""เชียงราย!J166"")"),0)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IFERROR(__xludf.DUMMYFUNCTION("IMPORTRANGE(""https://docs.google.com/spreadsheets/d/11923uPwbBZFjjGgGUA6NLw09EwE0CqkOc4q9oUmW1yo/edit?usp=sharing"",""เชียงราย!J166"")"),0)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IFERROR(__xludf.DUMMYFUNCTION("IMPORTRANGE(""https://docs.google.com/spreadsheets/d/11923uPwbBZFjjGgGUA6NLw09EwE0CqkOc4q9oUmW1yo/edit?usp=sharing"",""เชียงราย!I263"")"),100)</f>
        <v>100</v>
      </c>
      <c r="J368" s="187">
        <f ca="1">IFERROR(__xludf.DUMMYFUNCTION("IMPORTRANGE(""https://docs.google.com/spreadsheets/d/11923uPwbBZFjjGgGUA6NLw09EwE0CqkOc4q9oUmW1yo/edit?usp=sharing"",""เชียงราย!J263"")"),0)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IFERROR(__xludf.DUMMYFUNCTION("IMPORTRANGE(""https://docs.google.com/spreadsheets/d/11923uPwbBZFjjGgGUA6NLw09EwE0CqkOc4q9oUmW1yo/edit?usp=sharing"",""เชียงราย!I164"")"),0)</f>
        <v>0</v>
      </c>
      <c r="J369" s="203">
        <f ca="1">IFERROR(__xludf.DUMMYFUNCTION("IMPORTRANGE(""https://docs.google.com/spreadsheets/d/11923uPwbBZFjjGgGUA6NLw09EwE0CqkOc4q9oUmW1yo/edit?usp=sharing"",""เชียงราย!J164"")"),0)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IFERROR(__xludf.DUMMYFUNCTION("IMPORTRANGE(""https://docs.google.com/spreadsheets/d/11923uPwbBZFjjGgGUA6NLw09EwE0CqkOc4q9oUmW1yo/edit?usp=sharing"",""เชียงราย!I265"")"),100)</f>
        <v>100</v>
      </c>
      <c r="J370" s="203">
        <f ca="1">IFERROR(__xludf.DUMMYFUNCTION("IMPORTRANGE(""https://docs.google.com/spreadsheets/d/11923uPwbBZFjjGgGUA6NLw09EwE0CqkOc4q9oUmW1yo/edit?usp=sharing"",""เชียงราย!J265"")"),50)</f>
        <v>50</v>
      </c>
      <c r="K370" s="163">
        <f t="shared" ca="1" si="106"/>
        <v>50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IFERROR(__xludf.DUMMYFUNCTION("IMPORTRANGE(""https://docs.google.com/spreadsheets/d/11923uPwbBZFjjGgGUA6NLw09EwE0CqkOc4q9oUmW1yo/edit?usp=sharing"",""เชียงราย!I164"")"),0)</f>
        <v>0</v>
      </c>
      <c r="J371" s="188">
        <f ca="1">IFERROR(__xludf.DUMMYFUNCTION("IMPORTRANGE(""https://docs.google.com/spreadsheets/d/11923uPwbBZFjjGgGUA6NLw09EwE0CqkOc4q9oUmW1yo/edit?usp=sharing"",""เชียงราย!J164"")"),0)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IFERROR(__xludf.DUMMYFUNCTION("IMPORTRANGE(""https://docs.google.com/spreadsheets/d/11923uPwbBZFjjGgGUA6NLw09EwE0CqkOc4q9oUmW1yo/edit?usp=sharing"",""เชียงราย!I267"")"),100)</f>
        <v>100</v>
      </c>
      <c r="J372" s="188">
        <f ca="1">IFERROR(__xludf.DUMMYFUNCTION("IMPORTRANGE(""https://docs.google.com/spreadsheets/d/11923uPwbBZFjjGgGUA6NLw09EwE0CqkOc4q9oUmW1yo/edit?usp=sharing"",""เชียงราย!J267"")"),0)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IFERROR(__xludf.DUMMYFUNCTION("IMPORTRANGE(""https://docs.google.com/spreadsheets/d/11923uPwbBZFjjGgGUA6NLw09EwE0CqkOc4q9oUmW1yo/edit?usp=sharing"",""เชียงราย!I164"")"),0)</f>
        <v>0</v>
      </c>
      <c r="J373" s="203">
        <f ca="1">IFERROR(__xludf.DUMMYFUNCTION("IMPORTRANGE(""https://docs.google.com/spreadsheets/d/11923uPwbBZFjjGgGUA6NLw09EwE0CqkOc4q9oUmW1yo/edit?usp=sharing"",""เชียงราย!J164"")"),0)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IFERROR(__xludf.DUMMYFUNCTION("IMPORTRANGE(""https://docs.google.com/spreadsheets/d/11923uPwbBZFjjGgGUA6NLw09EwE0CqkOc4q9oUmW1yo/edit?usp=sharing"",""เชียงราย!I164"")"),0)</f>
        <v>0</v>
      </c>
      <c r="J374" s="187">
        <f ca="1">IFERROR(__xludf.DUMMYFUNCTION("IMPORTRANGE(""https://docs.google.com/spreadsheets/d/11923uPwbBZFjjGgGUA6NLw09EwE0CqkOc4q9oUmW1yo/edit?usp=sharing"",""เชียงราย!J164"")"),0)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IFERROR(__xludf.DUMMYFUNCTION("IMPORTRANGE(""https://docs.google.com/spreadsheets/d/11923uPwbBZFjjGgGUA6NLw09EwE0CqkOc4q9oUmW1yo/edit?usp=sharing"",""เชียงราย!I270"")"),200)</f>
        <v>200</v>
      </c>
      <c r="J375" s="187">
        <f ca="1">IFERROR(__xludf.DUMMYFUNCTION("IMPORTRANGE(""https://docs.google.com/spreadsheets/d/11923uPwbBZFjjGgGUA6NLw09EwE0CqkOc4q9oUmW1yo/edit?usp=sharing"",""เชียงราย!J270"")"),0)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IFERROR(__xludf.DUMMYFUNCTION("IMPORTRANGE(""https://docs.google.com/spreadsheets/d/11923uPwbBZFjjGgGUA6NLw09EwE0CqkOc4q9oUmW1yo/edit?usp=sharing"",""เชียงราย!I271"")"),100)</f>
        <v>100</v>
      </c>
      <c r="J376" s="188">
        <f ca="1">IFERROR(__xludf.DUMMYFUNCTION("IMPORTRANGE(""https://docs.google.com/spreadsheets/d/11923uPwbBZFjjGgGUA6NLw09EwE0CqkOc4q9oUmW1yo/edit?usp=sharing"",""เชียงราย!J271"")"),0)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IFERROR(__xludf.DUMMYFUNCTION("IMPORTRANGE(""https://docs.google.com/spreadsheets/d/11923uPwbBZFjjGgGUA6NLw09EwE0CqkOc4q9oUmW1yo/edit?usp=sharing"",""เชียงราย!I272"")"),100)</f>
        <v>100</v>
      </c>
      <c r="J377" s="203">
        <f ca="1">IFERROR(__xludf.DUMMYFUNCTION("IMPORTRANGE(""https://docs.google.com/spreadsheets/d/11923uPwbBZFjjGgGUA6NLw09EwE0CqkOc4q9oUmW1yo/edit?usp=sharing"",""เชียงราย!J272"")"),0)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IFERROR(__xludf.DUMMYFUNCTION("IMPORTRANGE(""https://docs.google.com/spreadsheets/d/11923uPwbBZFjjGgGUA6NLw09EwE0CqkOc4q9oUmW1yo/edit?usp=sharing"",""เชียงราย!J273"")"),0)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IFERROR(__xludf.DUMMYFUNCTION("IMPORTRANGE(""https://docs.google.com/spreadsheets/d/11923uPwbBZFjjGgGUA6NLw09EwE0CqkOc4q9oUmW1yo/edit?usp=sharing"",""เชียงราย!J274"")"),0)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IFERROR(__xludf.DUMMYFUNCTION("IMPORTRANGE(""https://docs.google.com/spreadsheets/d/11923uPwbBZFjjGgGUA6NLw09EwE0CqkOc4q9oUmW1yo/edit?usp=sharing"",""เชียงราย!I275"")"),500)</f>
        <v>500</v>
      </c>
      <c r="J380" s="369">
        <f ca="1">IFERROR(__xludf.DUMMYFUNCTION("IMPORTRANGE(""https://docs.google.com/spreadsheets/d/11923uPwbBZFjjGgGUA6NLw09EwE0CqkOc4q9oUmW1yo/edit?usp=sharing"",""เชียงราย!J275"")"),0)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IFERROR(__xludf.DUMMYFUNCTION("IMPORTRANGE(""https://docs.google.com/spreadsheets/d/11923uPwbBZFjjGgGUA6NLw09EwE0CqkOc4q9oUmW1yo/edit?usp=sharing"",""เชียงราย!L275"")"),460140)</f>
        <v>460140</v>
      </c>
      <c r="M380" s="371"/>
      <c r="N380" s="371">
        <f ca="1">IFERROR(__xludf.DUMMYFUNCTION("IMPORTRANGE(""https://docs.google.com/spreadsheets/d/11923uPwbBZFjjGgGUA6NLw09EwE0CqkOc4q9oUmW1yo/edit?usp=sharing"",""เชียงราย!M275"")"),6890)</f>
        <v>6890</v>
      </c>
      <c r="O380" s="371">
        <f ca="1">+IF(L380&gt;0,N380*100/L380,0)</f>
        <v>1.4973703655409223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IFERROR(__xludf.DUMMYFUNCTION("IMPORTRANGE(""https://docs.google.com/spreadsheets/d/11923uPwbBZFjjGgGUA6NLw09EwE0CqkOc4q9oUmW1yo/edit?usp=sharing"",""เชียงราย!I276"")"),50)</f>
        <v>50</v>
      </c>
      <c r="J381" s="369">
        <f ca="1">IFERROR(__xludf.DUMMYFUNCTION("IMPORTRANGE(""https://docs.google.com/spreadsheets/d/11923uPwbBZFjjGgGUA6NLw09EwE0CqkOc4q9oUmW1yo/edit?usp=sharing"",""เชียงราย!J276"")"),0)</f>
        <v>0</v>
      </c>
      <c r="K381" s="370">
        <f t="shared" ca="1" si="108"/>
        <v>0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IFERROR(__xludf.DUMMYFUNCTION("IMPORTRANGE(""https://docs.google.com/spreadsheets/d/11923uPwbBZFjjGgGUA6NLw09EwE0CqkOc4q9oUmW1yo/edit?usp=sharing"",""เชียงราย!L277"")"),0)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IFERROR(__xludf.DUMMYFUNCTION("IMPORTRANGE(""https://docs.google.com/spreadsheets/d/11923uPwbBZFjjGgGUA6NLw09EwE0CqkOc4q9oUmW1yo/edit?usp=sharing"",""เชียงราย!M277"")"),0)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IFERROR(__xludf.DUMMYFUNCTION("IMPORTRANGE(""https://docs.google.com/spreadsheets/d/11923uPwbBZFjjGgGUA6NLw09EwE0CqkOc4q9oUmW1yo/edit?usp=sharing"",""เชียงราย!L278"")"),460140)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IFERROR(__xludf.DUMMYFUNCTION("IMPORTRANGE(""https://docs.google.com/spreadsheets/d/11923uPwbBZFjjGgGUA6NLw09EwE0CqkOc4q9oUmW1yo/edit?usp=sharing"",""เชียงราย!M278"")"),6890)</f>
        <v>6890</v>
      </c>
      <c r="O383" s="165">
        <f t="shared" ca="1" si="109"/>
        <v>1.4973703655409223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IFERROR(__xludf.DUMMYFUNCTION("IMPORTRANGE(""https://docs.google.com/spreadsheets/d/11923uPwbBZFjjGgGUA6NLw09EwE0CqkOc4q9oUmW1yo/edit?usp=sharing"",""เชียงราย!L279"")"),0)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IFERROR(__xludf.DUMMYFUNCTION("IMPORTRANGE(""https://docs.google.com/spreadsheets/d/11923uPwbBZFjjGgGUA6NLw09EwE0CqkOc4q9oUmW1yo/edit?usp=sharing"",""เชียงราย!M279"")"),0)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IFERROR(__xludf.DUMMYFUNCTION("IMPORTRANGE(""https://docs.google.com/spreadsheets/d/11923uPwbBZFjjGgGUA6NLw09EwE0CqkOc4q9oUmW1yo/edit?usp=sharing"",""เชียงราย!L280"")"),460140)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IFERROR(__xludf.DUMMYFUNCTION("IMPORTRANGE(""https://docs.google.com/spreadsheets/d/11923uPwbBZFjjGgGUA6NLw09EwE0CqkOc4q9oUmW1yo/edit?usp=sharing"",""เชียงราย!M280"")"),6890)</f>
        <v>6890</v>
      </c>
      <c r="O385" s="168">
        <f t="shared" ca="1" si="109"/>
        <v>1.4973703655409223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IFERROR(__xludf.DUMMYFUNCTION("IMPORTRANGE(""https://docs.google.com/spreadsheets/d/11923uPwbBZFjjGgGUA6NLw09EwE0CqkOc4q9oUmW1yo/edit?usp=sharing"",""เชียงราย!M281"")"),750)</f>
        <v>750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IFERROR(__xludf.DUMMYFUNCTION("IMPORTRANGE(""https://docs.google.com/spreadsheets/d/11923uPwbBZFjjGgGUA6NLw09EwE0CqkOc4q9oUmW1yo/edit?usp=sharing"",""เชียงราย!M282"")"),0)</f>
        <v>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IFERROR(__xludf.DUMMYFUNCTION("IMPORTRANGE(""https://docs.google.com/spreadsheets/d/11923uPwbBZFjjGgGUA6NLw09EwE0CqkOc4q9oUmW1yo/edit?usp=sharing"",""เชียงราย!M283"")"),0)</f>
        <v>0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IFERROR(__xludf.DUMMYFUNCTION("IMPORTRANGE(""https://docs.google.com/spreadsheets/d/11923uPwbBZFjjGgGUA6NLw09EwE0CqkOc4q9oUmW1yo/edit?usp=sharing"",""เชียงราย!M284"")"),6140)</f>
        <v>6140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IFERROR(__xludf.DUMMYFUNCTION("IMPORTRANGE(""https://docs.google.com/spreadsheets/d/11923uPwbBZFjjGgGUA6NLw09EwE0CqkOc4q9oUmW1yo/edit?usp=sharing"",""เชียงราย!J286"")"),0)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IFERROR(__xludf.DUMMYFUNCTION("IMPORTRANGE(""https://docs.google.com/spreadsheets/d/11923uPwbBZFjjGgGUA6NLw09EwE0CqkOc4q9oUmW1yo/edit?usp=sharing"",""เชียงราย!J287"")"),1)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IFERROR(__xludf.DUMMYFUNCTION("IMPORTRANGE(""https://docs.google.com/spreadsheets/d/11923uPwbBZFjjGgGUA6NLw09EwE0CqkOc4q9oUmW1yo/edit?usp=sharing"",""เชียงราย!J288"")"),1)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IFERROR(__xludf.DUMMYFUNCTION("IMPORTRANGE(""https://docs.google.com/spreadsheets/d/11923uPwbBZFjjGgGUA6NLw09EwE0CqkOc4q9oUmW1yo/edit?usp=sharing"",""เชียงราย!J289"")"),1)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IFERROR(__xludf.DUMMYFUNCTION("IMPORTRANGE(""https://docs.google.com/spreadsheets/d/11923uPwbBZFjjGgGUA6NLw09EwE0CqkOc4q9oUmW1yo/edit?usp=sharing"",""เชียงราย!I291"")"),50)</f>
        <v>50</v>
      </c>
      <c r="J396" s="197">
        <f ca="1">IFERROR(__xludf.DUMMYFUNCTION("IMPORTRANGE(""https://docs.google.com/spreadsheets/d/11923uPwbBZFjjGgGUA6NLw09EwE0CqkOc4q9oUmW1yo/edit?usp=sharing"",""เชียงราย!J291"")"),0)</f>
        <v>0</v>
      </c>
      <c r="K396" s="163">
        <f t="shared" ref="K396:K398" ca="1" si="110">IF(I396&gt;0,J396*100/I396,0)</f>
        <v>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IFERROR(__xludf.DUMMYFUNCTION("IMPORTRANGE(""https://docs.google.com/spreadsheets/d/11923uPwbBZFjjGgGUA6NLw09EwE0CqkOc4q9oUmW1yo/edit?usp=sharing"",""เชียงราย!I292"")"),500)</f>
        <v>500</v>
      </c>
      <c r="J397" s="197">
        <f ca="1">IFERROR(__xludf.DUMMYFUNCTION("IMPORTRANGE(""https://docs.google.com/spreadsheets/d/11923uPwbBZFjjGgGUA6NLw09EwE0CqkOc4q9oUmW1yo/edit?usp=sharing"",""เชียงราย!J292"")"),0)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IFERROR(__xludf.DUMMYFUNCTION("IMPORTRANGE(""https://docs.google.com/spreadsheets/d/11923uPwbBZFjjGgGUA6NLw09EwE0CqkOc4q9oUmW1yo/edit?usp=sharing"",""เชียงราย!I293"")"),50)</f>
        <v>50</v>
      </c>
      <c r="J398" s="197">
        <f ca="1">IFERROR(__xludf.DUMMYFUNCTION("IMPORTRANGE(""https://docs.google.com/spreadsheets/d/11923uPwbBZFjjGgGUA6NLw09EwE0CqkOc4q9oUmW1yo/edit?usp=sharing"",""เชียงราย!J293"")"),0)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IFERROR(__xludf.DUMMYFUNCTION("IMPORTRANGE(""https://docs.google.com/spreadsheets/d/11923uPwbBZFjjGgGUA6NLw09EwE0CqkOc4q9oUmW1yo/edit?usp=sharing"",""เชียงราย!J294"")"),0)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IFERROR(__xludf.DUMMYFUNCTION("IMPORTRANGE(""https://docs.google.com/spreadsheets/d/11923uPwbBZFjjGgGUA6NLw09EwE0CqkOc4q9oUmW1yo/edit?usp=sharing"",""เชียงราย!J295"")"),0)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IFERROR(__xludf.DUMMYFUNCTION("IMPORTRANGE(""https://docs.google.com/spreadsheets/d/11923uPwbBZFjjGgGUA6NLw09EwE0CqkOc4q9oUmW1yo/edit?usp=sharing"",""เชียงราย!I296"")"),174)</f>
        <v>174</v>
      </c>
      <c r="J401" s="369">
        <f ca="1">IFERROR(__xludf.DUMMYFUNCTION("IMPORTRANGE(""https://docs.google.com/spreadsheets/d/11923uPwbBZFjjGgGUA6NLw09EwE0CqkOc4q9oUmW1yo/edit?usp=sharing"",""เชียงราย!J296"")"),174)</f>
        <v>174</v>
      </c>
      <c r="K401" s="370">
        <f t="shared" ref="K401:K402" ca="1" si="111">IF(I401&gt;0,J401*100/I401,0)</f>
        <v>100</v>
      </c>
      <c r="L401" s="371">
        <f ca="1">IFERROR(__xludf.DUMMYFUNCTION("IMPORTRANGE(""https://docs.google.com/spreadsheets/d/11923uPwbBZFjjGgGUA6NLw09EwE0CqkOc4q9oUmW1yo/edit?usp=sharing"",""เชียงราย!L296"")"),195900)</f>
        <v>195900</v>
      </c>
      <c r="M401" s="371"/>
      <c r="N401" s="371">
        <f ca="1">IFERROR(__xludf.DUMMYFUNCTION("IMPORTRANGE(""https://docs.google.com/spreadsheets/d/11923uPwbBZFjjGgGUA6NLw09EwE0CqkOc4q9oUmW1yo/edit?usp=sharing"",""เชียงราย!M296"")"),113630)</f>
        <v>113630</v>
      </c>
      <c r="O401" s="371">
        <f ca="1">+IF(L401&gt;0,N401*100/L401,0)</f>
        <v>58.004083716181725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IFERROR(__xludf.DUMMYFUNCTION("IMPORTRANGE(""https://docs.google.com/spreadsheets/d/11923uPwbBZFjjGgGUA6NLw09EwE0CqkOc4q9oUmW1yo/edit?usp=sharing"",""เชียงราย!I297"")"),58)</f>
        <v>58</v>
      </c>
      <c r="J402" s="369">
        <f ca="1">IFERROR(__xludf.DUMMYFUNCTION("IMPORTRANGE(""https://docs.google.com/spreadsheets/d/11923uPwbBZFjjGgGUA6NLw09EwE0CqkOc4q9oUmW1yo/edit?usp=sharing"",""เชียงราย!J297"")"),58)</f>
        <v>58</v>
      </c>
      <c r="K402" s="370">
        <f t="shared" ca="1" si="111"/>
        <v>100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IFERROR(__xludf.DUMMYFUNCTION("IMPORTRANGE(""https://docs.google.com/spreadsheets/d/11923uPwbBZFjjGgGUA6NLw09EwE0CqkOc4q9oUmW1yo/edit?usp=sharing"",""เชียงราย!L298"")"),0)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IFERROR(__xludf.DUMMYFUNCTION("IMPORTRANGE(""https://docs.google.com/spreadsheets/d/11923uPwbBZFjjGgGUA6NLw09EwE0CqkOc4q9oUmW1yo/edit?usp=sharing"",""เชียงราย!M298"")"),0)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IFERROR(__xludf.DUMMYFUNCTION("IMPORTRANGE(""https://docs.google.com/spreadsheets/d/11923uPwbBZFjjGgGUA6NLw09EwE0CqkOc4q9oUmW1yo/edit?usp=sharing"",""เชียงราย!L299"")"),195900)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IFERROR(__xludf.DUMMYFUNCTION("IMPORTRANGE(""https://docs.google.com/spreadsheets/d/11923uPwbBZFjjGgGUA6NLw09EwE0CqkOc4q9oUmW1yo/edit?usp=sharing"",""เชียงราย!M299"")"),113630)</f>
        <v>113630</v>
      </c>
      <c r="O404" s="168">
        <f t="shared" ca="1" si="112"/>
        <v>58.004083716181725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IFERROR(__xludf.DUMMYFUNCTION("IMPORTRANGE(""https://docs.google.com/spreadsheets/d/11923uPwbBZFjjGgGUA6NLw09EwE0CqkOc4q9oUmW1yo/edit?usp=sharing"",""เชียงราย!L300"")"),0)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IFERROR(__xludf.DUMMYFUNCTION("IMPORTRANGE(""https://docs.google.com/spreadsheets/d/11923uPwbBZFjjGgGUA6NLw09EwE0CqkOc4q9oUmW1yo/edit?usp=sharing"",""เชียงราย!M300"")"),0)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IFERROR(__xludf.DUMMYFUNCTION("IMPORTRANGE(""https://docs.google.com/spreadsheets/d/11923uPwbBZFjjGgGUA6NLw09EwE0CqkOc4q9oUmW1yo/edit?usp=sharing"",""เชียงราย!L301"")"),195900)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IFERROR(__xludf.DUMMYFUNCTION("IMPORTRANGE(""https://docs.google.com/spreadsheets/d/11923uPwbBZFjjGgGUA6NLw09EwE0CqkOc4q9oUmW1yo/edit?usp=sharing"",""เชียงราย!M301"")"),113630)</f>
        <v>113630</v>
      </c>
      <c r="O406" s="168">
        <f t="shared" ca="1" si="112"/>
        <v>58.004083716181725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IFERROR(__xludf.DUMMYFUNCTION("IMPORTRANGE(""https://docs.google.com/spreadsheets/d/11923uPwbBZFjjGgGUA6NLw09EwE0CqkOc4q9oUmW1yo/edit?usp=sharing"",""เชียงราย!M302"")"),100800)</f>
        <v>100800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IFERROR(__xludf.DUMMYFUNCTION("IMPORTRANGE(""https://docs.google.com/spreadsheets/d/11923uPwbBZFjjGgGUA6NLw09EwE0CqkOc4q9oUmW1yo/edit?usp=sharing"",""เชียงราย!M303"")"),0)</f>
        <v>0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IFERROR(__xludf.DUMMYFUNCTION("IMPORTRANGE(""https://docs.google.com/spreadsheets/d/11923uPwbBZFjjGgGUA6NLw09EwE0CqkOc4q9oUmW1yo/edit?usp=sharing"",""เชียงราย!M304"")"),0)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IFERROR(__xludf.DUMMYFUNCTION("IMPORTRANGE(""https://docs.google.com/spreadsheets/d/11923uPwbBZFjjGgGUA6NLw09EwE0CqkOc4q9oUmW1yo/edit?usp=sharing"",""เชียงราย!M305"")"),12830)</f>
        <v>12830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IFERROR(__xludf.DUMMYFUNCTION("IMPORTRANGE(""https://docs.google.com/spreadsheets/d/11923uPwbBZFjjGgGUA6NLw09EwE0CqkOc4q9oUmW1yo/edit?usp=sharing"",""เชียงราย!J307"")"),0)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IFERROR(__xludf.DUMMYFUNCTION("IMPORTRANGE(""https://docs.google.com/spreadsheets/d/11923uPwbBZFjjGgGUA6NLw09EwE0CqkOc4q9oUmW1yo/edit?usp=sharing"",""เชียงราย!J308"")"),1)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IFERROR(__xludf.DUMMYFUNCTION("IMPORTRANGE(""https://docs.google.com/spreadsheets/d/11923uPwbBZFjjGgGUA6NLw09EwE0CqkOc4q9oUmW1yo/edit?usp=sharing"",""เชียงราย!J309"")"),1)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IFERROR(__xludf.DUMMYFUNCTION("IMPORTRANGE(""https://docs.google.com/spreadsheets/d/11923uPwbBZFjjGgGUA6NLw09EwE0CqkOc4q9oUmW1yo/edit?usp=sharing"",""เชียงราย!J310"")"),1)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IFERROR(__xludf.DUMMYFUNCTION("IMPORTRANGE(""https://docs.google.com/spreadsheets/d/11923uPwbBZFjjGgGUA6NLw09EwE0CqkOc4q9oUmW1yo/edit?usp=sharing"",""เชียงราย!I311"")"),58)</f>
        <v>58</v>
      </c>
      <c r="J416" s="200">
        <f ca="1">IFERROR(__xludf.DUMMYFUNCTION("IMPORTRANGE(""https://docs.google.com/spreadsheets/d/11923uPwbBZFjjGgGUA6NLw09EwE0CqkOc4q9oUmW1yo/edit?usp=sharing"",""เชียงราย!J311"")"),58)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IFERROR(__xludf.DUMMYFUNCTION("IMPORTRANGE(""https://docs.google.com/spreadsheets/d/11923uPwbBZFjjGgGUA6NLw09EwE0CqkOc4q9oUmW1yo/edit?usp=sharing"",""เชียงราย!I312"")"),10)</f>
        <v>10</v>
      </c>
      <c r="J417" s="390">
        <f ca="1">IFERROR(__xludf.DUMMYFUNCTION("IMPORTRANGE(""https://docs.google.com/spreadsheets/d/11923uPwbBZFjjGgGUA6NLw09EwE0CqkOc4q9oUmW1yo/edit?usp=sharing"",""เชียงราย!J312"")"),10)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IFERROR(__xludf.DUMMYFUNCTION("IMPORTRANGE(""https://docs.google.com/spreadsheets/d/11923uPwbBZFjjGgGUA6NLw09EwE0CqkOc4q9oUmW1yo/edit?usp=sharing"",""เชียงราย!I313"")"),30)</f>
        <v>30</v>
      </c>
      <c r="J418" s="391">
        <f ca="1">IFERROR(__xludf.DUMMYFUNCTION("IMPORTRANGE(""https://docs.google.com/spreadsheets/d/11923uPwbBZFjjGgGUA6NLw09EwE0CqkOc4q9oUmW1yo/edit?usp=sharing"",""เชียงราย!J313"")"),30)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IFERROR(__xludf.DUMMYFUNCTION("IMPORTRANGE(""https://docs.google.com/spreadsheets/d/11923uPwbBZFjjGgGUA6NLw09EwE0CqkOc4q9oUmW1yo/edit?usp=sharing"",""เชียงราย!I314"")"),10)</f>
        <v>10</v>
      </c>
      <c r="J419" s="392">
        <f ca="1">IFERROR(__xludf.DUMMYFUNCTION("IMPORTRANGE(""https://docs.google.com/spreadsheets/d/11923uPwbBZFjjGgGUA6NLw09EwE0CqkOc4q9oUmW1yo/edit?usp=sharing"",""เชียงราย!J314"")"),10)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IFERROR(__xludf.DUMMYFUNCTION("IMPORTRANGE(""https://docs.google.com/spreadsheets/d/11923uPwbBZFjjGgGUA6NLw09EwE0CqkOc4q9oUmW1yo/edit?usp=sharing"",""เชียงราย!I315"")"),10)</f>
        <v>10</v>
      </c>
      <c r="J420" s="392">
        <f ca="1">IFERROR(__xludf.DUMMYFUNCTION("IMPORTRANGE(""https://docs.google.com/spreadsheets/d/11923uPwbBZFjjGgGUA6NLw09EwE0CqkOc4q9oUmW1yo/edit?usp=sharing"",""เชียงราย!J315"")"),10)</f>
        <v>10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IFERROR(__xludf.DUMMYFUNCTION("IMPORTRANGE(""https://docs.google.com/spreadsheets/d/11923uPwbBZFjjGgGUA6NLw09EwE0CqkOc4q9oUmW1yo/edit?usp=sharing"",""เชียงราย!I316"")"),38)</f>
        <v>38</v>
      </c>
      <c r="J421" s="390">
        <f ca="1">IFERROR(__xludf.DUMMYFUNCTION("IMPORTRANGE(""https://docs.google.com/spreadsheets/d/11923uPwbBZFjjGgGUA6NLw09EwE0CqkOc4q9oUmW1yo/edit?usp=sharing"",""เชียงราย!J316"")"),38)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IFERROR(__xludf.DUMMYFUNCTION("IMPORTRANGE(""https://docs.google.com/spreadsheets/d/11923uPwbBZFjjGgGUA6NLw09EwE0CqkOc4q9oUmW1yo/edit?usp=sharing"",""เชียงราย!I317"")"),114)</f>
        <v>114</v>
      </c>
      <c r="J422" s="391">
        <f ca="1">IFERROR(__xludf.DUMMYFUNCTION("IMPORTRANGE(""https://docs.google.com/spreadsheets/d/11923uPwbBZFjjGgGUA6NLw09EwE0CqkOc4q9oUmW1yo/edit?usp=sharing"",""เชียงราย!J317"")"),114)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IFERROR(__xludf.DUMMYFUNCTION("IMPORTRANGE(""https://docs.google.com/spreadsheets/d/11923uPwbBZFjjGgGUA6NLw09EwE0CqkOc4q9oUmW1yo/edit?usp=sharing"",""เชียงราย!I318"")"),38)</f>
        <v>38</v>
      </c>
      <c r="J423" s="392">
        <f ca="1">IFERROR(__xludf.DUMMYFUNCTION("IMPORTRANGE(""https://docs.google.com/spreadsheets/d/11923uPwbBZFjjGgGUA6NLw09EwE0CqkOc4q9oUmW1yo/edit?usp=sharing"",""เชียงราย!J318"")"),38)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IFERROR(__xludf.DUMMYFUNCTION("IMPORTRANGE(""https://docs.google.com/spreadsheets/d/11923uPwbBZFjjGgGUA6NLw09EwE0CqkOc4q9oUmW1yo/edit?usp=sharing"",""เชียงราย!I319"")"),38)</f>
        <v>38</v>
      </c>
      <c r="J424" s="392">
        <f ca="1">IFERROR(__xludf.DUMMYFUNCTION("IMPORTRANGE(""https://docs.google.com/spreadsheets/d/11923uPwbBZFjjGgGUA6NLw09EwE0CqkOc4q9oUmW1yo/edit?usp=sharing"",""เชียงราย!J319"")"),38)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IFERROR(__xludf.DUMMYFUNCTION("IMPORTRANGE(""https://docs.google.com/spreadsheets/d/11923uPwbBZFjjGgGUA6NLw09EwE0CqkOc4q9oUmW1yo/edit?usp=sharing"",""เชียงราย!I320"")"),38)</f>
        <v>38</v>
      </c>
      <c r="J425" s="392">
        <f ca="1">IFERROR(__xludf.DUMMYFUNCTION("IMPORTRANGE(""https://docs.google.com/spreadsheets/d/11923uPwbBZFjjGgGUA6NLw09EwE0CqkOc4q9oUmW1yo/edit?usp=sharing"",""เชียงราย!J320"")"),38)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IFERROR(__xludf.DUMMYFUNCTION("IMPORTRANGE(""https://docs.google.com/spreadsheets/d/11923uPwbBZFjjGgGUA6NLw09EwE0CqkOc4q9oUmW1yo/edit?usp=sharing"",""เชียงราย!I321"")"),10)</f>
        <v>10</v>
      </c>
      <c r="J426" s="390">
        <f ca="1">IFERROR(__xludf.DUMMYFUNCTION("IMPORTRANGE(""https://docs.google.com/spreadsheets/d/11923uPwbBZFjjGgGUA6NLw09EwE0CqkOc4q9oUmW1yo/edit?usp=sharing"",""เชียงราย!J321"")"),10)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IFERROR(__xludf.DUMMYFUNCTION("IMPORTRANGE(""https://docs.google.com/spreadsheets/d/11923uPwbBZFjjGgGUA6NLw09EwE0CqkOc4q9oUmW1yo/edit?usp=sharing"",""เชียงราย!I322"")"),30)</f>
        <v>30</v>
      </c>
      <c r="J427" s="391">
        <f ca="1">IFERROR(__xludf.DUMMYFUNCTION("IMPORTRANGE(""https://docs.google.com/spreadsheets/d/11923uPwbBZFjjGgGUA6NLw09EwE0CqkOc4q9oUmW1yo/edit?usp=sharing"",""เชียงราย!J322"")"),30)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IFERROR(__xludf.DUMMYFUNCTION("IMPORTRANGE(""https://docs.google.com/spreadsheets/d/11923uPwbBZFjjGgGUA6NLw09EwE0CqkOc4q9oUmW1yo/edit?usp=sharing"",""เชียงราย!I323"")"),10)</f>
        <v>10</v>
      </c>
      <c r="J428" s="392">
        <f ca="1">IFERROR(__xludf.DUMMYFUNCTION("IMPORTRANGE(""https://docs.google.com/spreadsheets/d/11923uPwbBZFjjGgGUA6NLw09EwE0CqkOc4q9oUmW1yo/edit?usp=sharing"",""เชียงราย!J323"")"),10)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IFERROR(__xludf.DUMMYFUNCTION("IMPORTRANGE(""https://docs.google.com/spreadsheets/d/11923uPwbBZFjjGgGUA6NLw09EwE0CqkOc4q9oUmW1yo/edit?usp=sharing"",""เชียงราย!I324"")"),10)</f>
        <v>10</v>
      </c>
      <c r="J429" s="392">
        <f ca="1">IFERROR(__xludf.DUMMYFUNCTION("IMPORTRANGE(""https://docs.google.com/spreadsheets/d/11923uPwbBZFjjGgGUA6NLw09EwE0CqkOc4q9oUmW1yo/edit?usp=sharing"",""เชียงราย!J324"")"),10)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IFERROR(__xludf.DUMMYFUNCTION("IMPORTRANGE(""https://docs.google.com/spreadsheets/d/11923uPwbBZFjjGgGUA6NLw09EwE0CqkOc4q9oUmW1yo/edit?usp=sharing"",""เชียงราย!I325"")"),48)</f>
        <v>48</v>
      </c>
      <c r="J430" s="390">
        <f ca="1">IFERROR(__xludf.DUMMYFUNCTION("IMPORTRANGE(""https://docs.google.com/spreadsheets/d/11923uPwbBZFjjGgGUA6NLw09EwE0CqkOc4q9oUmW1yo/edit?usp=sharing"",""เชียงราย!J325"")"),0)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IFERROR(__xludf.DUMMYFUNCTION("IMPORTRANGE(""https://docs.google.com/spreadsheets/d/11923uPwbBZFjjGgGUA6NLw09EwE0CqkOc4q9oUmW1yo/edit?usp=sharing"",""เชียงราย!I326"")"),10)</f>
        <v>10</v>
      </c>
      <c r="J431" s="392">
        <f ca="1">IFERROR(__xludf.DUMMYFUNCTION("IMPORTRANGE(""https://docs.google.com/spreadsheets/d/11923uPwbBZFjjGgGUA6NLw09EwE0CqkOc4q9oUmW1yo/edit?usp=sharing"",""เชียงราย!J326"")"),0)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IFERROR(__xludf.DUMMYFUNCTION("IMPORTRANGE(""https://docs.google.com/spreadsheets/d/11923uPwbBZFjjGgGUA6NLw09EwE0CqkOc4q9oUmW1yo/edit?usp=sharing"",""เชียงราย!I327"")"),38)</f>
        <v>38</v>
      </c>
      <c r="J432" s="392">
        <f ca="1">IFERROR(__xludf.DUMMYFUNCTION("IMPORTRANGE(""https://docs.google.com/spreadsheets/d/11923uPwbBZFjjGgGUA6NLw09EwE0CqkOc4q9oUmW1yo/edit?usp=sharing"",""เชียงราย!J327"")"),0)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IFERROR(__xludf.DUMMYFUNCTION("IMPORTRANGE(""https://docs.google.com/spreadsheets/d/11923uPwbBZFjjGgGUA6NLw09EwE0CqkOc4q9oUmW1yo/edit?usp=sharing"",""เชียงราย!J328"")"),0)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IFERROR(__xludf.DUMMYFUNCTION("IMPORTRANGE(""https://docs.google.com/spreadsheets/d/11923uPwbBZFjjGgGUA6NLw09EwE0CqkOc4q9oUmW1yo/edit?usp=sharing"",""เชียงราย!J329"")"),0)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IFERROR(__xludf.DUMMYFUNCTION("IMPORTRANGE(""https://docs.google.com/spreadsheets/d/11923uPwbBZFjjGgGUA6NLw09EwE0CqkOc4q9oUmW1yo/edit?usp=sharing"",""เชียงราย!I330"")"),50)</f>
        <v>50</v>
      </c>
      <c r="J435" s="408">
        <f ca="1">IFERROR(__xludf.DUMMYFUNCTION("IMPORTRANGE(""https://docs.google.com/spreadsheets/d/11923uPwbBZFjjGgGUA6NLw09EwE0CqkOc4q9oUmW1yo/edit?usp=sharing"",""เชียงราย!J330"")"),50)</f>
        <v>50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IFERROR(__xludf.DUMMYFUNCTION("IMPORTRANGE(""https://docs.google.com/spreadsheets/d/11923uPwbBZFjjGgGUA6NLw09EwE0CqkOc4q9oUmW1yo/edit?usp=sharing"",""เชียงราย!L330"")"),159800)</f>
        <v>159800</v>
      </c>
      <c r="M435" s="410"/>
      <c r="N435" s="410">
        <f ca="1">IFERROR(__xludf.DUMMYFUNCTION("IMPORTRANGE(""https://docs.google.com/spreadsheets/d/11923uPwbBZFjjGgGUA6NLw09EwE0CqkOc4q9oUmW1yo/edit?usp=sharing"",""เชียงราย!M330"")"),68192)</f>
        <v>68192</v>
      </c>
      <c r="O435" s="410">
        <f t="shared" ref="O435:O439" ca="1" si="114">+IF(L435&gt;0,N435*100/L435,0)</f>
        <v>42.673341677096367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IFERROR(__xludf.DUMMYFUNCTION("IMPORTRANGE(""https://docs.google.com/spreadsheets/d/11923uPwbBZFjjGgGUA6NLw09EwE0CqkOc4q9oUmW1yo/edit?usp=sharing"",""เชียงราย!L331"")"),0)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IFERROR(__xludf.DUMMYFUNCTION("IMPORTRANGE(""https://docs.google.com/spreadsheets/d/11923uPwbBZFjjGgGUA6NLw09EwE0CqkOc4q9oUmW1yo/edit?usp=sharing"",""เชียงราย!M331"")"),0)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IFERROR(__xludf.DUMMYFUNCTION("IMPORTRANGE(""https://docs.google.com/spreadsheets/d/11923uPwbBZFjjGgGUA6NLw09EwE0CqkOc4q9oUmW1yo/edit?usp=sharing"",""เชียงราย!L332"")"),159800)</f>
        <v>159800</v>
      </c>
      <c r="M437" s="165"/>
      <c r="N437" s="168">
        <f ca="1">IFERROR(__xludf.DUMMYFUNCTION("IMPORTRANGE(""https://docs.google.com/spreadsheets/d/11923uPwbBZFjjGgGUA6NLw09EwE0CqkOc4q9oUmW1yo/edit?usp=sharing"",""เชียงราย!M332"")"),68192)</f>
        <v>68192</v>
      </c>
      <c r="O437" s="168">
        <f t="shared" ca="1" si="114"/>
        <v>42.673341677096367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IFERROR(__xludf.DUMMYFUNCTION("IMPORTRANGE(""https://docs.google.com/spreadsheets/d/11923uPwbBZFjjGgGUA6NLw09EwE0CqkOc4q9oUmW1yo/edit?usp=sharing"",""เชียงราย!L333"")"),0)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IFERROR(__xludf.DUMMYFUNCTION("IMPORTRANGE(""https://docs.google.com/spreadsheets/d/11923uPwbBZFjjGgGUA6NLw09EwE0CqkOc4q9oUmW1yo/edit?usp=sharing"",""เชียงราย!M333"")"),0)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IFERROR(__xludf.DUMMYFUNCTION("IMPORTRANGE(""https://docs.google.com/spreadsheets/d/11923uPwbBZFjjGgGUA6NLw09EwE0CqkOc4q9oUmW1yo/edit?usp=sharing"",""เชียงราย!L334"")"),159800)</f>
        <v>159800</v>
      </c>
      <c r="M439" s="168"/>
      <c r="N439" s="168">
        <f ca="1">IFERROR(__xludf.DUMMYFUNCTION("IMPORTRANGE(""https://docs.google.com/spreadsheets/d/11923uPwbBZFjjGgGUA6NLw09EwE0CqkOc4q9oUmW1yo/edit?usp=sharing"",""เชียงราย!M334"")"),68192)</f>
        <v>68192</v>
      </c>
      <c r="O439" s="168">
        <f t="shared" ca="1" si="114"/>
        <v>42.673341677096367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IFERROR(__xludf.DUMMYFUNCTION("IMPORTRANGE(""https://docs.google.com/spreadsheets/d/11923uPwbBZFjjGgGUA6NLw09EwE0CqkOc4q9oUmW1yo/edit?usp=sharing"",""เชียงราย!M335"")"),60907)</f>
        <v>60907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IFERROR(__xludf.DUMMYFUNCTION("IMPORTRANGE(""https://docs.google.com/spreadsheets/d/11923uPwbBZFjjGgGUA6NLw09EwE0CqkOc4q9oUmW1yo/edit?usp=sharing"",""เชียงราย!M336"")"),0)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IFERROR(__xludf.DUMMYFUNCTION("IMPORTRANGE(""https://docs.google.com/spreadsheets/d/11923uPwbBZFjjGgGUA6NLw09EwE0CqkOc4q9oUmW1yo/edit?usp=sharing"",""เชียงราย!M337"")"),0)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IFERROR(__xludf.DUMMYFUNCTION("IMPORTRANGE(""https://docs.google.com/spreadsheets/d/11923uPwbBZFjjGgGUA6NLw09EwE0CqkOc4q9oUmW1yo/edit?usp=sharing"",""เชียงราย!M338"")"),7285)</f>
        <v>7285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IFERROR(__xludf.DUMMYFUNCTION("IMPORTRANGE(""https://docs.google.com/spreadsheets/d/11923uPwbBZFjjGgGUA6NLw09EwE0CqkOc4q9oUmW1yo/edit?usp=sharing"",""เชียงราย!J340"")"),0)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IFERROR(__xludf.DUMMYFUNCTION("IMPORTRANGE(""https://docs.google.com/spreadsheets/d/11923uPwbBZFjjGgGUA6NLw09EwE0CqkOc4q9oUmW1yo/edit?usp=sharing"",""เชียงราย!J341"")"),1)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IFERROR(__xludf.DUMMYFUNCTION("IMPORTRANGE(""https://docs.google.com/spreadsheets/d/11923uPwbBZFjjGgGUA6NLw09EwE0CqkOc4q9oUmW1yo/edit?usp=sharing"",""เชียงราย!J342"")"),1)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IFERROR(__xludf.DUMMYFUNCTION("IMPORTRANGE(""https://docs.google.com/spreadsheets/d/11923uPwbBZFjjGgGUA6NLw09EwE0CqkOc4q9oUmW1yo/edit?usp=sharing"",""เชียงราย!J343"")"),1)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IFERROR(__xludf.DUMMYFUNCTION("IMPORTRANGE(""https://docs.google.com/spreadsheets/d/11923uPwbBZFjjGgGUA6NLw09EwE0CqkOc4q9oUmW1yo/edit?usp=sharing"",""เชียงราย!I344"")"),50)</f>
        <v>50</v>
      </c>
      <c r="J449" s="200">
        <f ca="1">IFERROR(__xludf.DUMMYFUNCTION("IMPORTRANGE(""https://docs.google.com/spreadsheets/d/11923uPwbBZFjjGgGUA6NLw09EwE0CqkOc4q9oUmW1yo/edit?usp=sharing"",""เชียงราย!J344"")"),50)</f>
        <v>50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IFERROR(__xludf.DUMMYFUNCTION("IMPORTRANGE(""https://docs.google.com/spreadsheets/d/11923uPwbBZFjjGgGUA6NLw09EwE0CqkOc4q9oUmW1yo/edit?usp=sharing"",""เชียงราย!I345"")"),20)</f>
        <v>20</v>
      </c>
      <c r="J450" s="188">
        <f ca="1">IFERROR(__xludf.DUMMYFUNCTION("IMPORTRANGE(""https://docs.google.com/spreadsheets/d/11923uPwbBZFjjGgGUA6NLw09EwE0CqkOc4q9oUmW1yo/edit?usp=sharing"",""เชียงราย!J345"")"),20)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IFERROR(__xludf.DUMMYFUNCTION("IMPORTRANGE(""https://docs.google.com/spreadsheets/d/11923uPwbBZFjjGgGUA6NLw09EwE0CqkOc4q9oUmW1yo/edit?usp=sharing"",""เชียงราย!I346"")"),30)</f>
        <v>30</v>
      </c>
      <c r="J451" s="187">
        <f ca="1">IFERROR(__xludf.DUMMYFUNCTION("IMPORTRANGE(""https://docs.google.com/spreadsheets/d/11923uPwbBZFjjGgGUA6NLw09EwE0CqkOc4q9oUmW1yo/edit?usp=sharing"",""เชียงราย!J346"")"),30)</f>
        <v>30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IFERROR(__xludf.DUMMYFUNCTION("IMPORTRANGE(""https://docs.google.com/spreadsheets/d/11923uPwbBZFjjGgGUA6NLw09EwE0CqkOc4q9oUmW1yo/edit?usp=sharing"",""เชียงราย!I347"")"),0)</f>
        <v>0</v>
      </c>
      <c r="J452" s="187">
        <f ca="1">IFERROR(__xludf.DUMMYFUNCTION("IMPORTRANGE(""https://docs.google.com/spreadsheets/d/11923uPwbBZFjjGgGUA6NLw09EwE0CqkOc4q9oUmW1yo/edit?usp=sharing"",""เชียงราย!J347"")"),0)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IFERROR(__xludf.DUMMYFUNCTION("IMPORTRANGE(""https://docs.google.com/spreadsheets/d/11923uPwbBZFjjGgGUA6NLw09EwE0CqkOc4q9oUmW1yo/edit?usp=sharing"",""เชียงราย!J348"")"),0)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IFERROR(__xludf.DUMMYFUNCTION("IMPORTRANGE(""https://docs.google.com/spreadsheets/d/11923uPwbBZFjjGgGUA6NLw09EwE0CqkOc4q9oUmW1yo/edit?usp=sharing"",""เชียงราย!J349"")"),0)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IFERROR(__xludf.DUMMYFUNCTION("IMPORTRANGE(""https://docs.google.com/spreadsheets/d/11923uPwbBZFjjGgGUA6NLw09EwE0CqkOc4q9oUmW1yo/edit?usp=sharing"",""เชียงราย!I350"")"),49473)</f>
        <v>49473</v>
      </c>
      <c r="J455" s="369">
        <f ca="1">IFERROR(__xludf.DUMMYFUNCTION("IMPORTRANGE(""https://docs.google.com/spreadsheets/d/11923uPwbBZFjjGgGUA6NLw09EwE0CqkOc4q9oUmW1yo/edit?usp=sharing"",""เชียงราย!J350"")"),0)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IFERROR(__xludf.DUMMYFUNCTION("IMPORTRANGE(""https://docs.google.com/spreadsheets/d/11923uPwbBZFjjGgGUA6NLw09EwE0CqkOc4q9oUmW1yo/edit?usp=sharing"",""เชียงราย!L350"")"),510553)</f>
        <v>510553</v>
      </c>
      <c r="M455" s="371"/>
      <c r="N455" s="371">
        <f ca="1">IFERROR(__xludf.DUMMYFUNCTION("IMPORTRANGE(""https://docs.google.com/spreadsheets/d/11923uPwbBZFjjGgGUA6NLw09EwE0CqkOc4q9oUmW1yo/edit?usp=sharing"",""เชียงราย!M350"")"),84780)</f>
        <v>84780</v>
      </c>
      <c r="O455" s="371">
        <f t="shared" ref="O455:O459" ca="1" si="116">+IF(L455&gt;0,N455*100/L455,0)</f>
        <v>16.605523814373825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IFERROR(__xludf.DUMMYFUNCTION("IMPORTRANGE(""https://docs.google.com/spreadsheets/d/11923uPwbBZFjjGgGUA6NLw09EwE0CqkOc4q9oUmW1yo/edit?usp=sharing"",""เชียงราย!L351"")"),0)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IFERROR(__xludf.DUMMYFUNCTION("IMPORTRANGE(""https://docs.google.com/spreadsheets/d/11923uPwbBZFjjGgGUA6NLw09EwE0CqkOc4q9oUmW1yo/edit?usp=sharing"",""เชียงราย!M351"")"),0)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IFERROR(__xludf.DUMMYFUNCTION("IMPORTRANGE(""https://docs.google.com/spreadsheets/d/11923uPwbBZFjjGgGUA6NLw09EwE0CqkOc4q9oUmW1yo/edit?usp=sharing"",""เชียงราย!L352"")"),510553)</f>
        <v>510553</v>
      </c>
      <c r="M457" s="165"/>
      <c r="N457" s="168">
        <f ca="1">IFERROR(__xludf.DUMMYFUNCTION("IMPORTRANGE(""https://docs.google.com/spreadsheets/d/11923uPwbBZFjjGgGUA6NLw09EwE0CqkOc4q9oUmW1yo/edit?usp=sharing"",""เชียงราย!M352"")"),84780)</f>
        <v>84780</v>
      </c>
      <c r="O457" s="168">
        <f t="shared" ca="1" si="116"/>
        <v>16.605523814373825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IFERROR(__xludf.DUMMYFUNCTION("IMPORTRANGE(""https://docs.google.com/spreadsheets/d/11923uPwbBZFjjGgGUA6NLw09EwE0CqkOc4q9oUmW1yo/edit?usp=sharing"",""เชียงราย!L353"")"),0)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IFERROR(__xludf.DUMMYFUNCTION("IMPORTRANGE(""https://docs.google.com/spreadsheets/d/11923uPwbBZFjjGgGUA6NLw09EwE0CqkOc4q9oUmW1yo/edit?usp=sharing"",""เชียงราย!M353"")"),0)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IFERROR(__xludf.DUMMYFUNCTION("IMPORTRANGE(""https://docs.google.com/spreadsheets/d/11923uPwbBZFjjGgGUA6NLw09EwE0CqkOc4q9oUmW1yo/edit?usp=sharing"",""เชียงราย!L354"")"),510553)</f>
        <v>510553</v>
      </c>
      <c r="M459" s="168"/>
      <c r="N459" s="168">
        <f ca="1">IFERROR(__xludf.DUMMYFUNCTION("IMPORTRANGE(""https://docs.google.com/spreadsheets/d/11923uPwbBZFjjGgGUA6NLw09EwE0CqkOc4q9oUmW1yo/edit?usp=sharing"",""เชียงราย!M354"")"),84780)</f>
        <v>84780</v>
      </c>
      <c r="O459" s="168">
        <f t="shared" ca="1" si="116"/>
        <v>16.605523814373825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IFERROR(__xludf.DUMMYFUNCTION("IMPORTRANGE(""https://docs.google.com/spreadsheets/d/11923uPwbBZFjjGgGUA6NLw09EwE0CqkOc4q9oUmW1yo/edit?usp=sharing"",""เชียงราย!M355"")"),0)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IFERROR(__xludf.DUMMYFUNCTION("IMPORTRANGE(""https://docs.google.com/spreadsheets/d/11923uPwbBZFjjGgGUA6NLw09EwE0CqkOc4q9oUmW1yo/edit?usp=sharing"",""เชียงราย!M356"")"),0)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IFERROR(__xludf.DUMMYFUNCTION("IMPORTRANGE(""https://docs.google.com/spreadsheets/d/11923uPwbBZFjjGgGUA6NLw09EwE0CqkOc4q9oUmW1yo/edit?usp=sharing"",""เชียงราย!M357"")"),42000)</f>
        <v>42000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IFERROR(__xludf.DUMMYFUNCTION("IMPORTRANGE(""https://docs.google.com/spreadsheets/d/11923uPwbBZFjjGgGUA6NLw09EwE0CqkOc4q9oUmW1yo/edit?usp=sharing"",""เชียงราย!M358"")"),42780)</f>
        <v>42780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IFERROR(__xludf.DUMMYFUNCTION("IMPORTRANGE(""https://docs.google.com/spreadsheets/d/11923uPwbBZFjjGgGUA6NLw09EwE0CqkOc4q9oUmW1yo/edit?usp=sharing"",""เชียงราย!I359"")"),49473)</f>
        <v>49473</v>
      </c>
      <c r="J464" s="266">
        <f ca="1">IFERROR(__xludf.DUMMYFUNCTION("IMPORTRANGE(""https://docs.google.com/spreadsheets/d/11923uPwbBZFjjGgGUA6NLw09EwE0CqkOc4q9oUmW1yo/edit?usp=sharing"",""เชียงราย!J359"")"),0)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IFERROR(__xludf.DUMMYFUNCTION("IMPORTRANGE(""https://docs.google.com/spreadsheets/d/11923uPwbBZFjjGgGUA6NLw09EwE0CqkOc4q9oUmW1yo/edit?usp=sharing"",""เชียงราย!I360"")"),49473)</f>
        <v>49473</v>
      </c>
      <c r="J465" s="418">
        <f ca="1">IFERROR(__xludf.DUMMYFUNCTION("IMPORTRANGE(""https://docs.google.com/spreadsheets/d/11923uPwbBZFjjGgGUA6NLw09EwE0CqkOc4q9oUmW1yo/edit?usp=sharing"",""เชียงราย!J360"")"),49473)</f>
        <v>49473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IFERROR(__xludf.DUMMYFUNCTION("IMPORTRANGE(""https://docs.google.com/spreadsheets/d/11923uPwbBZFjjGgGUA6NLw09EwE0CqkOc4q9oUmW1yo/edit?usp=sharing"",""เชียงราย!I361"")"),9843)</f>
        <v>9843</v>
      </c>
      <c r="J466" s="418">
        <f ca="1">IFERROR(__xludf.DUMMYFUNCTION("IMPORTRANGE(""https://docs.google.com/spreadsheets/d/11923uPwbBZFjjGgGUA6NLw09EwE0CqkOc4q9oUmW1yo/edit?usp=sharing"",""เชียงราย!J361"")"),9843)</f>
        <v>9843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IFERROR(__xludf.DUMMYFUNCTION("IMPORTRANGE(""https://docs.google.com/spreadsheets/d/11923uPwbBZFjjGgGUA6NLw09EwE0CqkOc4q9oUmW1yo/edit?usp=sharing"",""เชียงราย!I362"")"),0)</f>
        <v>0</v>
      </c>
      <c r="J467" s="188">
        <f ca="1">IFERROR(__xludf.DUMMYFUNCTION("IMPORTRANGE(""https://docs.google.com/spreadsheets/d/11923uPwbBZFjjGgGUA6NLw09EwE0CqkOc4q9oUmW1yo/edit?usp=sharing"",""เชียงราย!J362"")"),42844)</f>
        <v>42844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IFERROR(__xludf.DUMMYFUNCTION("IMPORTRANGE(""https://docs.google.com/spreadsheets/d/11923uPwbBZFjjGgGUA6NLw09EwE0CqkOc4q9oUmW1yo/edit?usp=sharing"",""เชียงราย!I363"")"),0)</f>
        <v>0</v>
      </c>
      <c r="J468" s="188">
        <f ca="1">IFERROR(__xludf.DUMMYFUNCTION("IMPORTRANGE(""https://docs.google.com/spreadsheets/d/11923uPwbBZFjjGgGUA6NLw09EwE0CqkOc4q9oUmW1yo/edit?usp=sharing"",""เชียงราย!J363"")"),8729)</f>
        <v>8729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IFERROR(__xludf.DUMMYFUNCTION("IMPORTRANGE(""https://docs.google.com/spreadsheets/d/11923uPwbBZFjjGgGUA6NLw09EwE0CqkOc4q9oUmW1yo/edit?usp=sharing"",""เชียงราย!I364"")"),0)</f>
        <v>0</v>
      </c>
      <c r="J469" s="188">
        <f ca="1">IFERROR(__xludf.DUMMYFUNCTION("IMPORTRANGE(""https://docs.google.com/spreadsheets/d/11923uPwbBZFjjGgGUA6NLw09EwE0CqkOc4q9oUmW1yo/edit?usp=sharing"",""เชียงราย!J364"")"),5977)</f>
        <v>5977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IFERROR(__xludf.DUMMYFUNCTION("IMPORTRANGE(""https://docs.google.com/spreadsheets/d/11923uPwbBZFjjGgGUA6NLw09EwE0CqkOc4q9oUmW1yo/edit?usp=sharing"",""เชียงราย!I365"")"),0)</f>
        <v>0</v>
      </c>
      <c r="J470" s="188">
        <f ca="1">IFERROR(__xludf.DUMMYFUNCTION("IMPORTRANGE(""https://docs.google.com/spreadsheets/d/11923uPwbBZFjjGgGUA6NLw09EwE0CqkOc4q9oUmW1yo/edit?usp=sharing"",""เชียงราย!J365"")"),988)</f>
        <v>988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IFERROR(__xludf.DUMMYFUNCTION("IMPORTRANGE(""https://docs.google.com/spreadsheets/d/11923uPwbBZFjjGgGUA6NLw09EwE0CqkOc4q9oUmW1yo/edit?usp=sharing"",""เชียงราย!I366"")"),0)</f>
        <v>0</v>
      </c>
      <c r="J471" s="188">
        <f ca="1">IFERROR(__xludf.DUMMYFUNCTION("IMPORTRANGE(""https://docs.google.com/spreadsheets/d/11923uPwbBZFjjGgGUA6NLw09EwE0CqkOc4q9oUmW1yo/edit?usp=sharing"",""เชียงราย!J366"")"),652)</f>
        <v>652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IFERROR(__xludf.DUMMYFUNCTION("IMPORTRANGE(""https://docs.google.com/spreadsheets/d/11923uPwbBZFjjGgGUA6NLw09EwE0CqkOc4q9oUmW1yo/edit?usp=sharing"",""เชียงราย!I367"")"),0)</f>
        <v>0</v>
      </c>
      <c r="J472" s="188">
        <f ca="1">IFERROR(__xludf.DUMMYFUNCTION("IMPORTRANGE(""https://docs.google.com/spreadsheets/d/11923uPwbBZFjjGgGUA6NLw09EwE0CqkOc4q9oUmW1yo/edit?usp=sharing"",""เชียงราย!J367"")"),126)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IFERROR(__xludf.DUMMYFUNCTION("IMPORTRANGE(""https://docs.google.com/spreadsheets/d/11923uPwbBZFjjGgGUA6NLw09EwE0CqkOc4q9oUmW1yo/edit?usp=sharing"",""เชียงราย!I368"")"),49473)</f>
        <v>49473</v>
      </c>
      <c r="J473" s="418">
        <f ca="1">IFERROR(__xludf.DUMMYFUNCTION("IMPORTRANGE(""https://docs.google.com/spreadsheets/d/11923uPwbBZFjjGgGUA6NLw09EwE0CqkOc4q9oUmW1yo/edit?usp=sharing"",""เชียงราย!J368"")"),0)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IFERROR(__xludf.DUMMYFUNCTION("IMPORTRANGE(""https://docs.google.com/spreadsheets/d/11923uPwbBZFjjGgGUA6NLw09EwE0CqkOc4q9oUmW1yo/edit?usp=sharing"",""เชียงราย!I369"")"),9843)</f>
        <v>9843</v>
      </c>
      <c r="J474" s="418">
        <f ca="1">IFERROR(__xludf.DUMMYFUNCTION("IMPORTRANGE(""https://docs.google.com/spreadsheets/d/11923uPwbBZFjjGgGUA6NLw09EwE0CqkOc4q9oUmW1yo/edit?usp=sharing"",""เชียงราย!J369"")"),0)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IFERROR(__xludf.DUMMYFUNCTION("IMPORTRANGE(""https://docs.google.com/spreadsheets/d/11923uPwbBZFjjGgGUA6NLw09EwE0CqkOc4q9oUmW1yo/edit?usp=sharing"",""เชียงราย!I370"")"),0)</f>
        <v>0</v>
      </c>
      <c r="J475" s="188">
        <f ca="1">IFERROR(__xludf.DUMMYFUNCTION("IMPORTRANGE(""https://docs.google.com/spreadsheets/d/11923uPwbBZFjjGgGUA6NLw09EwE0CqkOc4q9oUmW1yo/edit?usp=sharing"",""เชียงราย!J370"")"),0)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IFERROR(__xludf.DUMMYFUNCTION("IMPORTRANGE(""https://docs.google.com/spreadsheets/d/11923uPwbBZFjjGgGUA6NLw09EwE0CqkOc4q9oUmW1yo/edit?usp=sharing"",""เชียงราย!I371"")"),0)</f>
        <v>0</v>
      </c>
      <c r="J476" s="188">
        <f ca="1">IFERROR(__xludf.DUMMYFUNCTION("IMPORTRANGE(""https://docs.google.com/spreadsheets/d/11923uPwbBZFjjGgGUA6NLw09EwE0CqkOc4q9oUmW1yo/edit?usp=sharing"",""เชียงราย!J371"")"),0)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IFERROR(__xludf.DUMMYFUNCTION("IMPORTRANGE(""https://docs.google.com/spreadsheets/d/11923uPwbBZFjjGgGUA6NLw09EwE0CqkOc4q9oUmW1yo/edit?usp=sharing"",""เชียงราย!I372"")"),0)</f>
        <v>0</v>
      </c>
      <c r="J477" s="188">
        <f ca="1">IFERROR(__xludf.DUMMYFUNCTION("IMPORTRANGE(""https://docs.google.com/spreadsheets/d/11923uPwbBZFjjGgGUA6NLw09EwE0CqkOc4q9oUmW1yo/edit?usp=sharing"",""เชียงราย!J372"")"),0)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IFERROR(__xludf.DUMMYFUNCTION("IMPORTRANGE(""https://docs.google.com/spreadsheets/d/11923uPwbBZFjjGgGUA6NLw09EwE0CqkOc4q9oUmW1yo/edit?usp=sharing"",""เชียงราย!I373"")"),0)</f>
        <v>0</v>
      </c>
      <c r="J478" s="188">
        <f ca="1">IFERROR(__xludf.DUMMYFUNCTION("IMPORTRANGE(""https://docs.google.com/spreadsheets/d/11923uPwbBZFjjGgGUA6NLw09EwE0CqkOc4q9oUmW1yo/edit?usp=sharing"",""เชียงราย!J373"")"),0)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IFERROR(__xludf.DUMMYFUNCTION("IMPORTRANGE(""https://docs.google.com/spreadsheets/d/11923uPwbBZFjjGgGUA6NLw09EwE0CqkOc4q9oUmW1yo/edit?usp=sharing"",""เชียงราย!I374"")"),0)</f>
        <v>0</v>
      </c>
      <c r="J479" s="188">
        <f ca="1">IFERROR(__xludf.DUMMYFUNCTION("IMPORTRANGE(""https://docs.google.com/spreadsheets/d/11923uPwbBZFjjGgGUA6NLw09EwE0CqkOc4q9oUmW1yo/edit?usp=sharing"",""เชียงราย!J374"")"),0)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IFERROR(__xludf.DUMMYFUNCTION("IMPORTRANGE(""https://docs.google.com/spreadsheets/d/11923uPwbBZFjjGgGUA6NLw09EwE0CqkOc4q9oUmW1yo/edit?usp=sharing"",""เชียงราย!I375"")"),0)</f>
        <v>0</v>
      </c>
      <c r="J480" s="188">
        <f ca="1">IFERROR(__xludf.DUMMYFUNCTION("IMPORTRANGE(""https://docs.google.com/spreadsheets/d/11923uPwbBZFjjGgGUA6NLw09EwE0CqkOc4q9oUmW1yo/edit?usp=sharing"",""เชียงราย!J375"")"),0)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IFERROR(__xludf.DUMMYFUNCTION("IMPORTRANGE(""https://docs.google.com/spreadsheets/d/11923uPwbBZFjjGgGUA6NLw09EwE0CqkOc4q9oUmW1yo/edit?usp=sharing"",""เชียงราย!I376"")"),49473)</f>
        <v>49473</v>
      </c>
      <c r="J481" s="418">
        <f ca="1">IFERROR(__xludf.DUMMYFUNCTION("IMPORTRANGE(""https://docs.google.com/spreadsheets/d/11923uPwbBZFjjGgGUA6NLw09EwE0CqkOc4q9oUmW1yo/edit?usp=sharing"",""เชียงราย!J376"")"),0)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IFERROR(__xludf.DUMMYFUNCTION("IMPORTRANGE(""https://docs.google.com/spreadsheets/d/11923uPwbBZFjjGgGUA6NLw09EwE0CqkOc4q9oUmW1yo/edit?usp=sharing"",""เชียงราย!I377"")"),9843)</f>
        <v>9843</v>
      </c>
      <c r="J482" s="418">
        <f ca="1">IFERROR(__xludf.DUMMYFUNCTION("IMPORTRANGE(""https://docs.google.com/spreadsheets/d/11923uPwbBZFjjGgGUA6NLw09EwE0CqkOc4q9oUmW1yo/edit?usp=sharing"",""เชียงราย!J377"")"),0)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IFERROR(__xludf.DUMMYFUNCTION("IMPORTRANGE(""https://docs.google.com/spreadsheets/d/11923uPwbBZFjjGgGUA6NLw09EwE0CqkOc4q9oUmW1yo/edit?usp=sharing"",""เชียงราย!I378"")"),0)</f>
        <v>0</v>
      </c>
      <c r="J483" s="188">
        <f ca="1">IFERROR(__xludf.DUMMYFUNCTION("IMPORTRANGE(""https://docs.google.com/spreadsheets/d/11923uPwbBZFjjGgGUA6NLw09EwE0CqkOc4q9oUmW1yo/edit?usp=sharing"",""เชียงราย!J378"")"),0)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IFERROR(__xludf.DUMMYFUNCTION("IMPORTRANGE(""https://docs.google.com/spreadsheets/d/11923uPwbBZFjjGgGUA6NLw09EwE0CqkOc4q9oUmW1yo/edit?usp=sharing"",""เชียงราย!I379"")"),0)</f>
        <v>0</v>
      </c>
      <c r="J484" s="188">
        <f ca="1">IFERROR(__xludf.DUMMYFUNCTION("IMPORTRANGE(""https://docs.google.com/spreadsheets/d/11923uPwbBZFjjGgGUA6NLw09EwE0CqkOc4q9oUmW1yo/edit?usp=sharing"",""เชียงราย!J379"")"),0)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IFERROR(__xludf.DUMMYFUNCTION("IMPORTRANGE(""https://docs.google.com/spreadsheets/d/11923uPwbBZFjjGgGUA6NLw09EwE0CqkOc4q9oUmW1yo/edit?usp=sharing"",""เชียงราย!I380"")"),0)</f>
        <v>0</v>
      </c>
      <c r="J485" s="188">
        <f ca="1">IFERROR(__xludf.DUMMYFUNCTION("IMPORTRANGE(""https://docs.google.com/spreadsheets/d/11923uPwbBZFjjGgGUA6NLw09EwE0CqkOc4q9oUmW1yo/edit?usp=sharing"",""เชียงราย!J380"")"),0)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IFERROR(__xludf.DUMMYFUNCTION("IMPORTRANGE(""https://docs.google.com/spreadsheets/d/11923uPwbBZFjjGgGUA6NLw09EwE0CqkOc4q9oUmW1yo/edit?usp=sharing"",""เชียงราย!I381"")"),0)</f>
        <v>0</v>
      </c>
      <c r="J486" s="188">
        <f ca="1">IFERROR(__xludf.DUMMYFUNCTION("IMPORTRANGE(""https://docs.google.com/spreadsheets/d/11923uPwbBZFjjGgGUA6NLw09EwE0CqkOc4q9oUmW1yo/edit?usp=sharing"",""เชียงราย!J381"")"),0)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IFERROR(__xludf.DUMMYFUNCTION("IMPORTRANGE(""https://docs.google.com/spreadsheets/d/11923uPwbBZFjjGgGUA6NLw09EwE0CqkOc4q9oUmW1yo/edit?usp=sharing"",""เชียงราย!I382"")"),0)</f>
        <v>0</v>
      </c>
      <c r="J487" s="418">
        <f ca="1">IFERROR(__xludf.DUMMYFUNCTION("IMPORTRANGE(""https://docs.google.com/spreadsheets/d/11923uPwbBZFjjGgGUA6NLw09EwE0CqkOc4q9oUmW1yo/edit?usp=sharing"",""เชียงราย!J382"")"),0)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IFERROR(__xludf.DUMMYFUNCTION("IMPORTRANGE(""https://docs.google.com/spreadsheets/d/11923uPwbBZFjjGgGUA6NLw09EwE0CqkOc4q9oUmW1yo/edit?usp=sharing"",""เชียงราย!I383"")"),0)</f>
        <v>0</v>
      </c>
      <c r="J488" s="418">
        <f ca="1">IFERROR(__xludf.DUMMYFUNCTION("IMPORTRANGE(""https://docs.google.com/spreadsheets/d/11923uPwbBZFjjGgGUA6NLw09EwE0CqkOc4q9oUmW1yo/edit?usp=sharing"",""เชียงราย!J383"")"),0)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IFERROR(__xludf.DUMMYFUNCTION("IMPORTRANGE(""https://docs.google.com/spreadsheets/d/11923uPwbBZFjjGgGUA6NLw09EwE0CqkOc4q9oUmW1yo/edit?usp=sharing"",""เชียงราย!I384"")"),0)</f>
        <v>0</v>
      </c>
      <c r="J489" s="188">
        <f ca="1">IFERROR(__xludf.DUMMYFUNCTION("IMPORTRANGE(""https://docs.google.com/spreadsheets/d/11923uPwbBZFjjGgGUA6NLw09EwE0CqkOc4q9oUmW1yo/edit?usp=sharing"",""เชียงราย!J384"")"),0)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IFERROR(__xludf.DUMMYFUNCTION("IMPORTRANGE(""https://docs.google.com/spreadsheets/d/11923uPwbBZFjjGgGUA6NLw09EwE0CqkOc4q9oUmW1yo/edit?usp=sharing"",""เชียงราย!I385"")"),0)</f>
        <v>0</v>
      </c>
      <c r="J490" s="188">
        <f ca="1">IFERROR(__xludf.DUMMYFUNCTION("IMPORTRANGE(""https://docs.google.com/spreadsheets/d/11923uPwbBZFjjGgGUA6NLw09EwE0CqkOc4q9oUmW1yo/edit?usp=sharing"",""เชียงราย!J385"")"),0)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IFERROR(__xludf.DUMMYFUNCTION("IMPORTRANGE(""https://docs.google.com/spreadsheets/d/11923uPwbBZFjjGgGUA6NLw09EwE0CqkOc4q9oUmW1yo/edit?usp=sharing"",""เชียงราย!I386"")"),0)</f>
        <v>0</v>
      </c>
      <c r="J491" s="188">
        <f ca="1">IFERROR(__xludf.DUMMYFUNCTION("IMPORTRANGE(""https://docs.google.com/spreadsheets/d/11923uPwbBZFjjGgGUA6NLw09EwE0CqkOc4q9oUmW1yo/edit?usp=sharing"",""เชียงราย!J386"")"),0)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IFERROR(__xludf.DUMMYFUNCTION("IMPORTRANGE(""https://docs.google.com/spreadsheets/d/11923uPwbBZFjjGgGUA6NLw09EwE0CqkOc4q9oUmW1yo/edit?usp=sharing"",""เชียงราย!I387"")"),0)</f>
        <v>0</v>
      </c>
      <c r="J492" s="188">
        <f ca="1">IFERROR(__xludf.DUMMYFUNCTION("IMPORTRANGE(""https://docs.google.com/spreadsheets/d/11923uPwbBZFjjGgGUA6NLw09EwE0CqkOc4q9oUmW1yo/edit?usp=sharing"",""เชียงราย!J387"")"),0)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IFERROR(__xludf.DUMMYFUNCTION("IMPORTRANGE(""https://docs.google.com/spreadsheets/d/11923uPwbBZFjjGgGUA6NLw09EwE0CqkOc4q9oUmW1yo/edit?usp=sharing"",""เชียงราย!I388"")"),0)</f>
        <v>0</v>
      </c>
      <c r="J493" s="188">
        <f ca="1">IFERROR(__xludf.DUMMYFUNCTION("IMPORTRANGE(""https://docs.google.com/spreadsheets/d/11923uPwbBZFjjGgGUA6NLw09EwE0CqkOc4q9oUmW1yo/edit?usp=sharing"",""เชียงราย!J388"")"),0)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IFERROR(__xludf.DUMMYFUNCTION("IMPORTRANGE(""https://docs.google.com/spreadsheets/d/11923uPwbBZFjjGgGUA6NLw09EwE0CqkOc4q9oUmW1yo/edit?usp=sharing"",""เชียงราย!I389"")"),0)</f>
        <v>0</v>
      </c>
      <c r="J494" s="434">
        <f ca="1">IFERROR(__xludf.DUMMYFUNCTION("IMPORTRANGE(""https://docs.google.com/spreadsheets/d/11923uPwbBZFjjGgGUA6NLw09EwE0CqkOc4q9oUmW1yo/edit?usp=sharing"",""เชียงราย!J389"")"),0)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IFERROR(__xludf.DUMMYFUNCTION("IMPORTRANGE(""https://docs.google.com/spreadsheets/d/11923uPwbBZFjjGgGUA6NLw09EwE0CqkOc4q9oUmW1yo/edit?usp=sharing"",""เชียงราย!I390"")"),0)</f>
        <v>0</v>
      </c>
      <c r="J495" s="434">
        <f ca="1">IFERROR(__xludf.DUMMYFUNCTION("IMPORTRANGE(""https://docs.google.com/spreadsheets/d/11923uPwbBZFjjGgGUA6NLw09EwE0CqkOc4q9oUmW1yo/edit?usp=sharing"",""เชียงราย!J390"")"),0)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IFERROR(__xludf.DUMMYFUNCTION("IMPORTRANGE(""https://docs.google.com/spreadsheets/d/11923uPwbBZFjjGgGUA6NLw09EwE0CqkOc4q9oUmW1yo/edit?usp=sharing"",""เชียงราย!I391"")"),0)</f>
        <v>0</v>
      </c>
      <c r="J496" s="434">
        <f ca="1">IFERROR(__xludf.DUMMYFUNCTION("IMPORTRANGE(""https://docs.google.com/spreadsheets/d/11923uPwbBZFjjGgGUA6NLw09EwE0CqkOc4q9oUmW1yo/edit?usp=sharing"",""เชียงราย!J391"")"),0)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IFERROR(__xludf.DUMMYFUNCTION("IMPORTRANGE(""https://docs.google.com/spreadsheets/d/11923uPwbBZFjjGgGUA6NLw09EwE0CqkOc4q9oUmW1yo/edit?usp=sharing"",""เชียงราย!I392"")"),707)</f>
        <v>707</v>
      </c>
      <c r="J497" s="441">
        <f ca="1">IFERROR(__xludf.DUMMYFUNCTION("IMPORTRANGE(""https://docs.google.com/spreadsheets/d/11923uPwbBZFjjGgGUA6NLw09EwE0CqkOc4q9oUmW1yo/edit?usp=sharing"",""เชียงราย!J392"")"),694)</f>
        <v>694</v>
      </c>
      <c r="K497" s="442">
        <f t="shared" ca="1" si="117"/>
        <v>98.161244695898162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IFERROR(__xludf.DUMMYFUNCTION("IMPORTRANGE(""https://docs.google.com/spreadsheets/d/11923uPwbBZFjjGgGUA6NLw09EwE0CqkOc4q9oUmW1yo/edit?usp=sharing"",""เชียงราย!I393"")"),707)</f>
        <v>707</v>
      </c>
      <c r="J498" s="418">
        <f ca="1">IFERROR(__xludf.DUMMYFUNCTION("IMPORTRANGE(""https://docs.google.com/spreadsheets/d/11923uPwbBZFjjGgGUA6NLw09EwE0CqkOc4q9oUmW1yo/edit?usp=sharing"",""เชียงราย!J393"")"),694)</f>
        <v>694</v>
      </c>
      <c r="K498" s="163">
        <f t="shared" ca="1" si="117"/>
        <v>98.161244695898162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IFERROR(__xludf.DUMMYFUNCTION("IMPORTRANGE(""https://docs.google.com/spreadsheets/d/11923uPwbBZFjjGgGUA6NLw09EwE0CqkOc4q9oUmW1yo/edit?usp=sharing"",""เชียงราย!I394"")"),94)</f>
        <v>94</v>
      </c>
      <c r="J499" s="418">
        <f ca="1">IFERROR(__xludf.DUMMYFUNCTION("IMPORTRANGE(""https://docs.google.com/spreadsheets/d/11923uPwbBZFjjGgGUA6NLw09EwE0CqkOc4q9oUmW1yo/edit?usp=sharing"",""เชียงราย!J394"")"),92)</f>
        <v>92</v>
      </c>
      <c r="K499" s="201">
        <f t="shared" ca="1" si="117"/>
        <v>97.872340425531917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IFERROR(__xludf.DUMMYFUNCTION("IMPORTRANGE(""https://docs.google.com/spreadsheets/d/11923uPwbBZFjjGgGUA6NLw09EwE0CqkOc4q9oUmW1yo/edit?usp=sharing"",""เชียงราย!I395"")"),0)</f>
        <v>0</v>
      </c>
      <c r="J500" s="162">
        <f ca="1">IFERROR(__xludf.DUMMYFUNCTION("IMPORTRANGE(""https://docs.google.com/spreadsheets/d/11923uPwbBZFjjGgGUA6NLw09EwE0CqkOc4q9oUmW1yo/edit?usp=sharing"",""เชียงราย!J395"")"),552)</f>
        <v>552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IFERROR(__xludf.DUMMYFUNCTION("IMPORTRANGE(""https://docs.google.com/spreadsheets/d/11923uPwbBZFjjGgGUA6NLw09EwE0CqkOc4q9oUmW1yo/edit?usp=sharing"",""เชียงราย!I396"")"),0)</f>
        <v>0</v>
      </c>
      <c r="J501" s="162">
        <f ca="1">IFERROR(__xludf.DUMMYFUNCTION("IMPORTRANGE(""https://docs.google.com/spreadsheets/d/11923uPwbBZFjjGgGUA6NLw09EwE0CqkOc4q9oUmW1yo/edit?usp=sharing"",""เชียงราย!J396"")"),73)</f>
        <v>73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IFERROR(__xludf.DUMMYFUNCTION("IMPORTRANGE(""https://docs.google.com/spreadsheets/d/11923uPwbBZFjjGgGUA6NLw09EwE0CqkOc4q9oUmW1yo/edit?usp=sharing"",""เชียงราย!I397"")"),0)</f>
        <v>0</v>
      </c>
      <c r="J502" s="188">
        <f ca="1">IFERROR(__xludf.DUMMYFUNCTION("IMPORTRANGE(""https://docs.google.com/spreadsheets/d/11923uPwbBZFjjGgGUA6NLw09EwE0CqkOc4q9oUmW1yo/edit?usp=sharing"",""เชียงราย!J397"")"),552)</f>
        <v>552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IFERROR(__xludf.DUMMYFUNCTION("IMPORTRANGE(""https://docs.google.com/spreadsheets/d/11923uPwbBZFjjGgGUA6NLw09EwE0CqkOc4q9oUmW1yo/edit?usp=sharing"",""เชียงราย!I398"")"),0)</f>
        <v>0</v>
      </c>
      <c r="J503" s="197">
        <f ca="1">IFERROR(__xludf.DUMMYFUNCTION("IMPORTRANGE(""https://docs.google.com/spreadsheets/d/11923uPwbBZFjjGgGUA6NLw09EwE0CqkOc4q9oUmW1yo/edit?usp=sharing"",""เชียงราย!J398"")"),73)</f>
        <v>73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IFERROR(__xludf.DUMMYFUNCTION("IMPORTRANGE(""https://docs.google.com/spreadsheets/d/11923uPwbBZFjjGgGUA6NLw09EwE0CqkOc4q9oUmW1yo/edit?usp=sharing"",""เชียงราย!I399"")"),0)</f>
        <v>0</v>
      </c>
      <c r="J504" s="188">
        <f ca="1">IFERROR(__xludf.DUMMYFUNCTION("IMPORTRANGE(""https://docs.google.com/spreadsheets/d/11923uPwbBZFjjGgGUA6NLw09EwE0CqkOc4q9oUmW1yo/edit?usp=sharing"",""เชียงราย!J399"")"),0)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IFERROR(__xludf.DUMMYFUNCTION("IMPORTRANGE(""https://docs.google.com/spreadsheets/d/11923uPwbBZFjjGgGUA6NLw09EwE0CqkOc4q9oUmW1yo/edit?usp=sharing"",""เชียงราย!I400"")"),0)</f>
        <v>0</v>
      </c>
      <c r="J505" s="197">
        <f ca="1">IFERROR(__xludf.DUMMYFUNCTION("IMPORTRANGE(""https://docs.google.com/spreadsheets/d/11923uPwbBZFjjGgGUA6NLw09EwE0CqkOc4q9oUmW1yo/edit?usp=sharing"",""เชียงราย!J400"")"),0)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IFERROR(__xludf.DUMMYFUNCTION("IMPORTRANGE(""https://docs.google.com/spreadsheets/d/11923uPwbBZFjjGgGUA6NLw09EwE0CqkOc4q9oUmW1yo/edit?usp=sharing"",""เชียงราย!I401"")"),0)</f>
        <v>0</v>
      </c>
      <c r="J506" s="188">
        <f ca="1">IFERROR(__xludf.DUMMYFUNCTION("IMPORTRANGE(""https://docs.google.com/spreadsheets/d/11923uPwbBZFjjGgGUA6NLw09EwE0CqkOc4q9oUmW1yo/edit?usp=sharing"",""เชียงราย!J401"")"),0)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IFERROR(__xludf.DUMMYFUNCTION("IMPORTRANGE(""https://docs.google.com/spreadsheets/d/11923uPwbBZFjjGgGUA6NLw09EwE0CqkOc4q9oUmW1yo/edit?usp=sharing"",""เชียงราย!I402"")"),0)</f>
        <v>0</v>
      </c>
      <c r="J507" s="197">
        <f ca="1">IFERROR(__xludf.DUMMYFUNCTION("IMPORTRANGE(""https://docs.google.com/spreadsheets/d/11923uPwbBZFjjGgGUA6NLw09EwE0CqkOc4q9oUmW1yo/edit?usp=sharing"",""เชียงราย!J402"")"),0)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IFERROR(__xludf.DUMMYFUNCTION("IMPORTRANGE(""https://docs.google.com/spreadsheets/d/11923uPwbBZFjjGgGUA6NLw09EwE0CqkOc4q9oUmW1yo/edit?usp=sharing"",""เชียงราย!I403"")"),0)</f>
        <v>0</v>
      </c>
      <c r="J508" s="162">
        <f ca="1">IFERROR(__xludf.DUMMYFUNCTION("IMPORTRANGE(""https://docs.google.com/spreadsheets/d/11923uPwbBZFjjGgGUA6NLw09EwE0CqkOc4q9oUmW1yo/edit?usp=sharing"",""เชียงราย!J403"")"),141)</f>
        <v>141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IFERROR(__xludf.DUMMYFUNCTION("IMPORTRANGE(""https://docs.google.com/spreadsheets/d/11923uPwbBZFjjGgGUA6NLw09EwE0CqkOc4q9oUmW1yo/edit?usp=sharing"",""เชียงราย!I404"")"),0)</f>
        <v>0</v>
      </c>
      <c r="J509" s="162">
        <f ca="1">IFERROR(__xludf.DUMMYFUNCTION("IMPORTRANGE(""https://docs.google.com/spreadsheets/d/11923uPwbBZFjjGgGUA6NLw09EwE0CqkOc4q9oUmW1yo/edit?usp=sharing"",""เชียงราย!J404"")"),18)</f>
        <v>18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IFERROR(__xludf.DUMMYFUNCTION("IMPORTRANGE(""https://docs.google.com/spreadsheets/d/11923uPwbBZFjjGgGUA6NLw09EwE0CqkOc4q9oUmW1yo/edit?usp=sharing"",""เชียงราย!I405"")"),0)</f>
        <v>0</v>
      </c>
      <c r="J510" s="197">
        <f ca="1">IFERROR(__xludf.DUMMYFUNCTION("IMPORTRANGE(""https://docs.google.com/spreadsheets/d/11923uPwbBZFjjGgGUA6NLw09EwE0CqkOc4q9oUmW1yo/edit?usp=sharing"",""เชียงราย!J405"")"),141)</f>
        <v>141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IFERROR(__xludf.DUMMYFUNCTION("IMPORTRANGE(""https://docs.google.com/spreadsheets/d/11923uPwbBZFjjGgGUA6NLw09EwE0CqkOc4q9oUmW1yo/edit?usp=sharing"",""เชียงราย!I406"")"),0)</f>
        <v>0</v>
      </c>
      <c r="J511" s="197">
        <f ca="1">IFERROR(__xludf.DUMMYFUNCTION("IMPORTRANGE(""https://docs.google.com/spreadsheets/d/11923uPwbBZFjjGgGUA6NLw09EwE0CqkOc4q9oUmW1yo/edit?usp=sharing"",""เชียงราย!J406"")"),18)</f>
        <v>18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IFERROR(__xludf.DUMMYFUNCTION("IMPORTRANGE(""https://docs.google.com/spreadsheets/d/11923uPwbBZFjjGgGUA6NLw09EwE0CqkOc4q9oUmW1yo/edit?usp=sharing"",""เชียงราย!I407"")"),0)</f>
        <v>0</v>
      </c>
      <c r="J512" s="197">
        <f ca="1">IFERROR(__xludf.DUMMYFUNCTION("IMPORTRANGE(""https://docs.google.com/spreadsheets/d/11923uPwbBZFjjGgGUA6NLw09EwE0CqkOc4q9oUmW1yo/edit?usp=sharing"",""เชียงราย!J407"")"),0)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IFERROR(__xludf.DUMMYFUNCTION("IMPORTRANGE(""https://docs.google.com/spreadsheets/d/11923uPwbBZFjjGgGUA6NLw09EwE0CqkOc4q9oUmW1yo/edit?usp=sharing"",""เชียงราย!I408"")"),0)</f>
        <v>0</v>
      </c>
      <c r="J513" s="197">
        <f ca="1">IFERROR(__xludf.DUMMYFUNCTION("IMPORTRANGE(""https://docs.google.com/spreadsheets/d/11923uPwbBZFjjGgGUA6NLw09EwE0CqkOc4q9oUmW1yo/edit?usp=sharing"",""เชียงราย!J408"")"),0)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IFERROR(__xludf.DUMMYFUNCTION("IMPORTRANGE(""https://docs.google.com/spreadsheets/d/11923uPwbBZFjjGgGUA6NLw09EwE0CqkOc4q9oUmW1yo/edit?usp=sharing"",""เชียงราย!I409"")"),0)</f>
        <v>0</v>
      </c>
      <c r="J514" s="197">
        <f ca="1">IFERROR(__xludf.DUMMYFUNCTION("IMPORTRANGE(""https://docs.google.com/spreadsheets/d/11923uPwbBZFjjGgGUA6NLw09EwE0CqkOc4q9oUmW1yo/edit?usp=sharing"",""เชียงราย!J409"")"),1)</f>
        <v>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IFERROR(__xludf.DUMMYFUNCTION("IMPORTRANGE(""https://docs.google.com/spreadsheets/d/11923uPwbBZFjjGgGUA6NLw09EwE0CqkOc4q9oUmW1yo/edit?usp=sharing"",""เชียงราย!I410"")"),0)</f>
        <v>0</v>
      </c>
      <c r="J515" s="197">
        <f ca="1">IFERROR(__xludf.DUMMYFUNCTION("IMPORTRANGE(""https://docs.google.com/spreadsheets/d/11923uPwbBZFjjGgGUA6NLw09EwE0CqkOc4q9oUmW1yo/edit?usp=sharing"",""เชียงราย!J410"")"),1)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IFERROR(__xludf.DUMMYFUNCTION("IMPORTRANGE(""https://docs.google.com/spreadsheets/d/11923uPwbBZFjjGgGUA6NLw09EwE0CqkOc4q9oUmW1yo/edit?usp=sharing"",""เชียงราย!I411"")"),0)</f>
        <v>0</v>
      </c>
      <c r="J516" s="266">
        <f ca="1">IFERROR(__xludf.DUMMYFUNCTION("IMPORTRANGE(""https://docs.google.com/spreadsheets/d/11923uPwbBZFjjGgGUA6NLw09EwE0CqkOc4q9oUmW1yo/edit?usp=sharing"",""เชียงราย!J411"")"),0)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IFERROR(__xludf.DUMMYFUNCTION("IMPORTRANGE(""https://docs.google.com/spreadsheets/d/11923uPwbBZFjjGgGUA6NLw09EwE0CqkOc4q9oUmW1yo/edit?usp=sharing"",""เชียงราย!I412"")"),0)</f>
        <v>0</v>
      </c>
      <c r="J517" s="282">
        <f ca="1">IFERROR(__xludf.DUMMYFUNCTION("IMPORTRANGE(""https://docs.google.com/spreadsheets/d/11923uPwbBZFjjGgGUA6NLw09EwE0CqkOc4q9oUmW1yo/edit?usp=sharing"",""เชียงราย!J412"")"),0)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IFERROR(__xludf.DUMMYFUNCTION("IMPORTRANGE(""https://docs.google.com/spreadsheets/d/11923uPwbBZFjjGgGUA6NLw09EwE0CqkOc4q9oUmW1yo/edit?usp=sharing"",""เชียงราย!I413"")"),0)</f>
        <v>0</v>
      </c>
      <c r="J518" s="282">
        <f ca="1">IFERROR(__xludf.DUMMYFUNCTION("IMPORTRANGE(""https://docs.google.com/spreadsheets/d/11923uPwbBZFjjGgGUA6NLw09EwE0CqkOc4q9oUmW1yo/edit?usp=sharing"",""เชียงราย!J413"")"),0)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IFERROR(__xludf.DUMMYFUNCTION("IMPORTRANGE(""https://docs.google.com/spreadsheets/d/11923uPwbBZFjjGgGUA6NLw09EwE0CqkOc4q9oUmW1yo/edit?usp=sharing"",""เชียงราย!I414"")"),0)</f>
        <v>0</v>
      </c>
      <c r="J519" s="187">
        <f ca="1">IFERROR(__xludf.DUMMYFUNCTION("IMPORTRANGE(""https://docs.google.com/spreadsheets/d/11923uPwbBZFjjGgGUA6NLw09EwE0CqkOc4q9oUmW1yo/edit?usp=sharing"",""เชียงราย!J414"")"),0)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IFERROR(__xludf.DUMMYFUNCTION("IMPORTRANGE(""https://docs.google.com/spreadsheets/d/11923uPwbBZFjjGgGUA6NLw09EwE0CqkOc4q9oUmW1yo/edit?usp=sharing"",""เชียงราย!I415"")"),0)</f>
        <v>0</v>
      </c>
      <c r="J520" s="187">
        <f ca="1">IFERROR(__xludf.DUMMYFUNCTION("IMPORTRANGE(""https://docs.google.com/spreadsheets/d/11923uPwbBZFjjGgGUA6NLw09EwE0CqkOc4q9oUmW1yo/edit?usp=sharing"",""เชียงราย!J415"")"),0)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IFERROR(__xludf.DUMMYFUNCTION("IMPORTRANGE(""https://docs.google.com/spreadsheets/d/11923uPwbBZFjjGgGUA6NLw09EwE0CqkOc4q9oUmW1yo/edit?usp=sharing"",""เชียงราย!I416"")"),0)</f>
        <v>0</v>
      </c>
      <c r="J521" s="187">
        <f ca="1">IFERROR(__xludf.DUMMYFUNCTION("IMPORTRANGE(""https://docs.google.com/spreadsheets/d/11923uPwbBZFjjGgGUA6NLw09EwE0CqkOc4q9oUmW1yo/edit?usp=sharing"",""เชียงราย!J416"")"),0)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IFERROR(__xludf.DUMMYFUNCTION("IMPORTRANGE(""https://docs.google.com/spreadsheets/d/11923uPwbBZFjjGgGUA6NLw09EwE0CqkOc4q9oUmW1yo/edit?usp=sharing"",""เชียงราย!I417"")"),0)</f>
        <v>0</v>
      </c>
      <c r="J522" s="187">
        <f ca="1">IFERROR(__xludf.DUMMYFUNCTION("IMPORTRANGE(""https://docs.google.com/spreadsheets/d/11923uPwbBZFjjGgGUA6NLw09EwE0CqkOc4q9oUmW1yo/edit?usp=sharing"",""เชียงราย!J417"")"),0)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IFERROR(__xludf.DUMMYFUNCTION("IMPORTRANGE(""https://docs.google.com/spreadsheets/d/11923uPwbBZFjjGgGUA6NLw09EwE0CqkOc4q9oUmW1yo/edit?usp=sharing"",""เชียงราย!I418"")"),0)</f>
        <v>0</v>
      </c>
      <c r="J523" s="187">
        <f ca="1">IFERROR(__xludf.DUMMYFUNCTION("IMPORTRANGE(""https://docs.google.com/spreadsheets/d/11923uPwbBZFjjGgGUA6NLw09EwE0CqkOc4q9oUmW1yo/edit?usp=sharing"",""เชียงราย!J418"")"),110)</f>
        <v>110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IFERROR(__xludf.DUMMYFUNCTION("IMPORTRANGE(""https://docs.google.com/spreadsheets/d/11923uPwbBZFjjGgGUA6NLw09EwE0CqkOc4q9oUmW1yo/edit?usp=sharing"",""เชียงราย!I419"")"),0)</f>
        <v>0</v>
      </c>
      <c r="J524" s="187">
        <f ca="1">IFERROR(__xludf.DUMMYFUNCTION("IMPORTRANGE(""https://docs.google.com/spreadsheets/d/11923uPwbBZFjjGgGUA6NLw09EwE0CqkOc4q9oUmW1yo/edit?usp=sharing"",""เชียงราย!J419"")"),15)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IFERROR(__xludf.DUMMYFUNCTION("IMPORTRANGE(""https://docs.google.com/spreadsheets/d/11923uPwbBZFjjGgGUA6NLw09EwE0CqkOc4q9oUmW1yo/edit?usp=sharing"",""เชียงราย!I420"")"),110)</f>
        <v>110</v>
      </c>
      <c r="J525" s="282">
        <f ca="1">IFERROR(__xludf.DUMMYFUNCTION("IMPORTRANGE(""https://docs.google.com/spreadsheets/d/11923uPwbBZFjjGgGUA6NLw09EwE0CqkOc4q9oUmW1yo/edit?usp=sharing"",""เชียงราย!J420"")"),98)</f>
        <v>98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IFERROR(__xludf.DUMMYFUNCTION("IMPORTRANGE(""https://docs.google.com/spreadsheets/d/11923uPwbBZFjjGgGUA6NLw09EwE0CqkOc4q9oUmW1yo/edit?usp=sharing"",""เชียงราย!I421"")"),15)</f>
        <v>15</v>
      </c>
      <c r="J526" s="282">
        <f ca="1">IFERROR(__xludf.DUMMYFUNCTION("IMPORTRANGE(""https://docs.google.com/spreadsheets/d/11923uPwbBZFjjGgGUA6NLw09EwE0CqkOc4q9oUmW1yo/edit?usp=sharing"",""เชียงราย!J421"")"),12)</f>
        <v>12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IFERROR(__xludf.DUMMYFUNCTION("IMPORTRANGE(""https://docs.google.com/spreadsheets/d/11923uPwbBZFjjGgGUA6NLw09EwE0CqkOc4q9oUmW1yo/edit?usp=sharing"",""เชียงราย!I422"")"),0)</f>
        <v>0</v>
      </c>
      <c r="J527" s="197">
        <f ca="1">IFERROR(__xludf.DUMMYFUNCTION("IMPORTRANGE(""https://docs.google.com/spreadsheets/d/11923uPwbBZFjjGgGUA6NLw09EwE0CqkOc4q9oUmW1yo/edit?usp=sharing"",""เชียงราย!J422"")"),98)</f>
        <v>98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IFERROR(__xludf.DUMMYFUNCTION("IMPORTRANGE(""https://docs.google.com/spreadsheets/d/11923uPwbBZFjjGgGUA6NLw09EwE0CqkOc4q9oUmW1yo/edit?usp=sharing"",""เชียงราย!I423"")"),0)</f>
        <v>0</v>
      </c>
      <c r="J528" s="197">
        <f ca="1">IFERROR(__xludf.DUMMYFUNCTION("IMPORTRANGE(""https://docs.google.com/spreadsheets/d/11923uPwbBZFjjGgGUA6NLw09EwE0CqkOc4q9oUmW1yo/edit?usp=sharing"",""เชียงราย!J423"")"),12)</f>
        <v>12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IFERROR(__xludf.DUMMYFUNCTION("IMPORTRANGE(""https://docs.google.com/spreadsheets/d/11923uPwbBZFjjGgGUA6NLw09EwE0CqkOc4q9oUmW1yo/edit?usp=sharing"",""เชียงราย!I424"")"),0)</f>
        <v>0</v>
      </c>
      <c r="J529" s="197">
        <f ca="1">IFERROR(__xludf.DUMMYFUNCTION("IMPORTRANGE(""https://docs.google.com/spreadsheets/d/11923uPwbBZFjjGgGUA6NLw09EwE0CqkOc4q9oUmW1yo/edit?usp=sharing"",""เชียงราย!J424"")"),0)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IFERROR(__xludf.DUMMYFUNCTION("IMPORTRANGE(""https://docs.google.com/spreadsheets/d/11923uPwbBZFjjGgGUA6NLw09EwE0CqkOc4q9oUmW1yo/edit?usp=sharing"",""เชียงราย!I425"")"),0)</f>
        <v>0</v>
      </c>
      <c r="J530" s="197">
        <f ca="1">IFERROR(__xludf.DUMMYFUNCTION("IMPORTRANGE(""https://docs.google.com/spreadsheets/d/11923uPwbBZFjjGgGUA6NLw09EwE0CqkOc4q9oUmW1yo/edit?usp=sharing"",""เชียงราย!J425"")"),0)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IFERROR(__xludf.DUMMYFUNCTION("IMPORTRANGE(""https://docs.google.com/spreadsheets/d/11923uPwbBZFjjGgGUA6NLw09EwE0CqkOc4q9oUmW1yo/edit?usp=sharing"",""เชียงราย!I426"")"),0)</f>
        <v>0</v>
      </c>
      <c r="J531" s="197">
        <f ca="1">IFERROR(__xludf.DUMMYFUNCTION("IMPORTRANGE(""https://docs.google.com/spreadsheets/d/11923uPwbBZFjjGgGUA6NLw09EwE0CqkOc4q9oUmW1yo/edit?usp=sharing"",""เชียงราย!J426"")"),0)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IFERROR(__xludf.DUMMYFUNCTION("IMPORTRANGE(""https://docs.google.com/spreadsheets/d/11923uPwbBZFjjGgGUA6NLw09EwE0CqkOc4q9oUmW1yo/edit?usp=sharing"",""เชียงราย!I427"")"),0)</f>
        <v>0</v>
      </c>
      <c r="J532" s="464">
        <f ca="1">IFERROR(__xludf.DUMMYFUNCTION("IMPORTRANGE(""https://docs.google.com/spreadsheets/d/11923uPwbBZFjjGgGUA6NLw09EwE0CqkOc4q9oUmW1yo/edit?usp=sharing"",""เชียงราย!J427"")"),0)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IFERROR(__xludf.DUMMYFUNCTION("IMPORTRANGE(""https://docs.google.com/spreadsheets/d/11923uPwbBZFjjGgGUA6NLw09EwE0CqkOc4q9oUmW1yo/edit?usp=sharing"",""เชียงราย!I428"")"),30)</f>
        <v>30</v>
      </c>
      <c r="J533" s="408">
        <f ca="1">IFERROR(__xludf.DUMMYFUNCTION("IMPORTRANGE(""https://docs.google.com/spreadsheets/d/11923uPwbBZFjjGgGUA6NLw09EwE0CqkOc4q9oUmW1yo/edit?usp=sharing"",""เชียงราย!J428"")"),30)</f>
        <v>30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IFERROR(__xludf.DUMMYFUNCTION("IMPORTRANGE(""https://docs.google.com/spreadsheets/d/11923uPwbBZFjjGgGUA6NLw09EwE0CqkOc4q9oUmW1yo/edit?usp=sharing"",""เชียงราย!L428"")"),41150)</f>
        <v>41150</v>
      </c>
      <c r="M533" s="410"/>
      <c r="N533" s="410">
        <f ca="1">IFERROR(__xludf.DUMMYFUNCTION("IMPORTRANGE(""https://docs.google.com/spreadsheets/d/11923uPwbBZFjjGgGUA6NLw09EwE0CqkOc4q9oUmW1yo/edit?usp=sharing"",""เชียงราย!M428"")"),30893)</f>
        <v>30893</v>
      </c>
      <c r="O533" s="410">
        <f t="shared" ref="O533:O537" ca="1" si="118">+IF(L533&gt;0,N533*100/L533,0)</f>
        <v>75.074119076549209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IFERROR(__xludf.DUMMYFUNCTION("IMPORTRANGE(""https://docs.google.com/spreadsheets/d/11923uPwbBZFjjGgGUA6NLw09EwE0CqkOc4q9oUmW1yo/edit?usp=sharing"",""เชียงราย!L429"")"),0)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IFERROR(__xludf.DUMMYFUNCTION("IMPORTRANGE(""https://docs.google.com/spreadsheets/d/11923uPwbBZFjjGgGUA6NLw09EwE0CqkOc4q9oUmW1yo/edit?usp=sharing"",""เชียงราย!M429"")"),0)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IFERROR(__xludf.DUMMYFUNCTION("IMPORTRANGE(""https://docs.google.com/spreadsheets/d/11923uPwbBZFjjGgGUA6NLw09EwE0CqkOc4q9oUmW1yo/edit?usp=sharing"",""เชียงราย!L430"")"),41150)</f>
        <v>41150</v>
      </c>
      <c r="M535" s="165"/>
      <c r="N535" s="168">
        <f ca="1">IFERROR(__xludf.DUMMYFUNCTION("IMPORTRANGE(""https://docs.google.com/spreadsheets/d/11923uPwbBZFjjGgGUA6NLw09EwE0CqkOc4q9oUmW1yo/edit?usp=sharing"",""เชียงราย!M430"")"),30893)</f>
        <v>30893</v>
      </c>
      <c r="O535" s="168">
        <f t="shared" ca="1" si="118"/>
        <v>75.074119076549209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IFERROR(__xludf.DUMMYFUNCTION("IMPORTRANGE(""https://docs.google.com/spreadsheets/d/11923uPwbBZFjjGgGUA6NLw09EwE0CqkOc4q9oUmW1yo/edit?usp=sharing"",""เชียงราย!L431"")"),0)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IFERROR(__xludf.DUMMYFUNCTION("IMPORTRANGE(""https://docs.google.com/spreadsheets/d/11923uPwbBZFjjGgGUA6NLw09EwE0CqkOc4q9oUmW1yo/edit?usp=sharing"",""เชียงราย!M431"")"),0)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IFERROR(__xludf.DUMMYFUNCTION("IMPORTRANGE(""https://docs.google.com/spreadsheets/d/11923uPwbBZFjjGgGUA6NLw09EwE0CqkOc4q9oUmW1yo/edit?usp=sharing"",""เชียงราย!L432"")"),41150)</f>
        <v>41150</v>
      </c>
      <c r="M537" s="168"/>
      <c r="N537" s="168">
        <f ca="1">IFERROR(__xludf.DUMMYFUNCTION("IMPORTRANGE(""https://docs.google.com/spreadsheets/d/11923uPwbBZFjjGgGUA6NLw09EwE0CqkOc4q9oUmW1yo/edit?usp=sharing"",""เชียงราย!M432"")"),30893)</f>
        <v>30893</v>
      </c>
      <c r="O537" s="168">
        <f t="shared" ca="1" si="118"/>
        <v>75.074119076549209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IFERROR(__xludf.DUMMYFUNCTION("IMPORTRANGE(""https://docs.google.com/spreadsheets/d/11923uPwbBZFjjGgGUA6NLw09EwE0CqkOc4q9oUmW1yo/edit?usp=sharing"",""เชียงราย!M433"")"),30893)</f>
        <v>30893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IFERROR(__xludf.DUMMYFUNCTION("IMPORTRANGE(""https://docs.google.com/spreadsheets/d/11923uPwbBZFjjGgGUA6NLw09EwE0CqkOc4q9oUmW1yo/edit?usp=sharing"",""เชียงราย!M434"")"),0)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IFERROR(__xludf.DUMMYFUNCTION("IMPORTRANGE(""https://docs.google.com/spreadsheets/d/11923uPwbBZFjjGgGUA6NLw09EwE0CqkOc4q9oUmW1yo/edit?usp=sharing"",""เชียงราย!M435"")"),0)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IFERROR(__xludf.DUMMYFUNCTION("IMPORTRANGE(""https://docs.google.com/spreadsheets/d/11923uPwbBZFjjGgGUA6NLw09EwE0CqkOc4q9oUmW1yo/edit?usp=sharing"",""เชียงราย!M436"")"),0)</f>
        <v>0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IFERROR(__xludf.DUMMYFUNCTION("IMPORTRANGE(""https://docs.google.com/spreadsheets/d/11923uPwbBZFjjGgGUA6NLw09EwE0CqkOc4q9oUmW1yo/edit?usp=sharing"",""เชียงราย!J438"")"),0)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IFERROR(__xludf.DUMMYFUNCTION("IMPORTRANGE(""https://docs.google.com/spreadsheets/d/11923uPwbBZFjjGgGUA6NLw09EwE0CqkOc4q9oUmW1yo/edit?usp=sharing"",""เชียงราย!J439"")"),1)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IFERROR(__xludf.DUMMYFUNCTION("IMPORTRANGE(""https://docs.google.com/spreadsheets/d/11923uPwbBZFjjGgGUA6NLw09EwE0CqkOc4q9oUmW1yo/edit?usp=sharing"",""เชียงราย!J440"")"),1)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IFERROR(__xludf.DUMMYFUNCTION("IMPORTRANGE(""https://docs.google.com/spreadsheets/d/11923uPwbBZFjjGgGUA6NLw09EwE0CqkOc4q9oUmW1yo/edit?usp=sharing"",""เชียงราย!J441"")"),1)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IFERROR(__xludf.DUMMYFUNCTION("IMPORTRANGE(""https://docs.google.com/spreadsheets/d/11923uPwbBZFjjGgGUA6NLw09EwE0CqkOc4q9oUmW1yo/edit?usp=sharing"",""เชียงราย!I442"")"),30)</f>
        <v>30</v>
      </c>
      <c r="J547" s="188">
        <f ca="1">IFERROR(__xludf.DUMMYFUNCTION("IMPORTRANGE(""https://docs.google.com/spreadsheets/d/11923uPwbBZFjjGgGUA6NLw09EwE0CqkOc4q9oUmW1yo/edit?usp=sharing"",""เชียงราย!J442"")"),30)</f>
        <v>30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IFERROR(__xludf.DUMMYFUNCTION("IMPORTRANGE(""https://docs.google.com/spreadsheets/d/11923uPwbBZFjjGgGUA6NLw09EwE0CqkOc4q9oUmW1yo/edit?usp=sharing"",""เชียงราย!J166"")"),0)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IFERROR(__xludf.DUMMYFUNCTION("IMPORTRANGE(""https://docs.google.com/spreadsheets/d/11923uPwbBZFjjGgGUA6NLw09EwE0CqkOc4q9oUmW1yo/edit?usp=sharing"",""เชียงราย!J444"")"),0)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IFERROR(__xludf.DUMMYFUNCTION("IMPORTRANGE(""https://docs.google.com/spreadsheets/d/11923uPwbBZFjjGgGUA6NLw09EwE0CqkOc4q9oUmW1yo/edit?usp=sharing"",""เชียงราย!J445"")"),0)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IFERROR(__xludf.DUMMYFUNCTION("IMPORTRANGE(""https://docs.google.com/spreadsheets/d/11923uPwbBZFjjGgGUA6NLw09EwE0CqkOc4q9oUmW1yo/edit?usp=sharing"",""เชียงราย!I446"")"),0)</f>
        <v>0</v>
      </c>
      <c r="J551" s="408">
        <f ca="1">IFERROR(__xludf.DUMMYFUNCTION("IMPORTRANGE(""https://docs.google.com/spreadsheets/d/11923uPwbBZFjjGgGUA6NLw09EwE0CqkOc4q9oUmW1yo/edit?usp=sharing"",""เชียงราย!J446"")"),0)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IFERROR(__xludf.DUMMYFUNCTION("IMPORTRANGE(""https://docs.google.com/spreadsheets/d/11923uPwbBZFjjGgGUA6NLw09EwE0CqkOc4q9oUmW1yo/edit?usp=sharing"",""เชียงราย!L446"")"),0)</f>
        <v>0</v>
      </c>
      <c r="M551" s="410"/>
      <c r="N551" s="410">
        <f ca="1">IFERROR(__xludf.DUMMYFUNCTION("IMPORTRANGE(""https://docs.google.com/spreadsheets/d/11923uPwbBZFjjGgGUA6NLw09EwE0CqkOc4q9oUmW1yo/edit?usp=sharing"",""เชียงราย!M446"")"),0)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IFERROR(__xludf.DUMMYFUNCTION("IMPORTRANGE(""https://docs.google.com/spreadsheets/d/11923uPwbBZFjjGgGUA6NLw09EwE0CqkOc4q9oUmW1yo/edit?usp=sharing"",""เชียงราย!L447"")"),0)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IFERROR(__xludf.DUMMYFUNCTION("IMPORTRANGE(""https://docs.google.com/spreadsheets/d/11923uPwbBZFjjGgGUA6NLw09EwE0CqkOc4q9oUmW1yo/edit?usp=sharing"",""เชียงราย!M447"")"),0)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IFERROR(__xludf.DUMMYFUNCTION("IMPORTRANGE(""https://docs.google.com/spreadsheets/d/11923uPwbBZFjjGgGUA6NLw09EwE0CqkOc4q9oUmW1yo/edit?usp=sharing"",""เชียงราย!L448"")"),0)</f>
        <v>0</v>
      </c>
      <c r="M553" s="165"/>
      <c r="N553" s="168">
        <f ca="1">IFERROR(__xludf.DUMMYFUNCTION("IMPORTRANGE(""https://docs.google.com/spreadsheets/d/11923uPwbBZFjjGgGUA6NLw09EwE0CqkOc4q9oUmW1yo/edit?usp=sharing"",""เชียงราย!M448"")"),0)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IFERROR(__xludf.DUMMYFUNCTION("IMPORTRANGE(""https://docs.google.com/spreadsheets/d/11923uPwbBZFjjGgGUA6NLw09EwE0CqkOc4q9oUmW1yo/edit?usp=sharing"",""เชียงราย!L449"")"),0)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IFERROR(__xludf.DUMMYFUNCTION("IMPORTRANGE(""https://docs.google.com/spreadsheets/d/11923uPwbBZFjjGgGUA6NLw09EwE0CqkOc4q9oUmW1yo/edit?usp=sharing"",""เชียงราย!M449"")"),0)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IFERROR(__xludf.DUMMYFUNCTION("IMPORTRANGE(""https://docs.google.com/spreadsheets/d/11923uPwbBZFjjGgGUA6NLw09EwE0CqkOc4q9oUmW1yo/edit?usp=sharing"",""เชียงราย!L450"")"),0)</f>
        <v>0</v>
      </c>
      <c r="M555" s="168"/>
      <c r="N555" s="168">
        <f ca="1">IFERROR(__xludf.DUMMYFUNCTION("IMPORTRANGE(""https://docs.google.com/spreadsheets/d/11923uPwbBZFjjGgGUA6NLw09EwE0CqkOc4q9oUmW1yo/edit?usp=sharing"",""เชียงราย!M450"")"),0)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IFERROR(__xludf.DUMMYFUNCTION("IMPORTRANGE(""https://docs.google.com/spreadsheets/d/11923uPwbBZFjjGgGUA6NLw09EwE0CqkOc4q9oUmW1yo/edit?usp=sharing"",""เชียงราย!M451"")"),0)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IFERROR(__xludf.DUMMYFUNCTION("IMPORTRANGE(""https://docs.google.com/spreadsheets/d/11923uPwbBZFjjGgGUA6NLw09EwE0CqkOc4q9oUmW1yo/edit?usp=sharing"",""เชียงราย!M452"")"),0)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IFERROR(__xludf.DUMMYFUNCTION("IMPORTRANGE(""https://docs.google.com/spreadsheets/d/11923uPwbBZFjjGgGUA6NLw09EwE0CqkOc4q9oUmW1yo/edit?usp=sharing"",""เชียงราย!M453"")"),0)</f>
        <v>0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IFERROR(__xludf.DUMMYFUNCTION("IMPORTRANGE(""https://docs.google.com/spreadsheets/d/11923uPwbBZFjjGgGUA6NLw09EwE0CqkOc4q9oUmW1yo/edit?usp=sharing"",""เชียงราย!M454"")"),0)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IFERROR(__xludf.DUMMYFUNCTION("IMPORTRANGE(""https://docs.google.com/spreadsheets/d/11923uPwbBZFjjGgGUA6NLw09EwE0CqkOc4q9oUmW1yo/edit?usp=sharing"",""เชียงราย!I455"")"),0)</f>
        <v>0</v>
      </c>
      <c r="J560" s="162">
        <f ca="1">IFERROR(__xludf.DUMMYFUNCTION("IMPORTRANGE(""https://docs.google.com/spreadsheets/d/11923uPwbBZFjjGgGUA6NLw09EwE0CqkOc4q9oUmW1yo/edit?usp=sharing"",""เชียงราย!J455"")"),0)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IFERROR(__xludf.DUMMYFUNCTION("IMPORTRANGE(""https://docs.google.com/spreadsheets/d/11923uPwbBZFjjGgGUA6NLw09EwE0CqkOc4q9oUmW1yo/edit?usp=sharing"",""เชียงราย!I456"")"),0)</f>
        <v>0</v>
      </c>
      <c r="J561" s="203">
        <f ca="1">IFERROR(__xludf.DUMMYFUNCTION("IMPORTRANGE(""https://docs.google.com/spreadsheets/d/11923uPwbBZFjjGgGUA6NLw09EwE0CqkOc4q9oUmW1yo/edit?usp=sharing"",""เชียงราย!J456"")"),0)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f ca="1">IFERROR(__xludf.DUMMYFUNCTION("IMPORTRANGE(""https://docs.google.com/spreadsheets/d/11923uPwbBZFjjGgGUA6NLw09EwE0CqkOc4q9oUmW1yo/edit?usp=sharing"",""เชียงราย!I457"")"),0)</f>
        <v>0</v>
      </c>
      <c r="J562" s="203" t="str">
        <f ca="1">IFERROR(__xludf.DUMMYFUNCTION("IMPORTRANGE(""https://docs.google.com/spreadsheets/d/11923uPwbBZFjjGgGUA6NLw09EwE0CqkOc4q9oUmW1yo/edit?usp=sharing"",""เชียงราย!J457"")"),"")</f>
        <v/>
      </c>
      <c r="K562" s="163">
        <f t="shared" ca="1" si="121"/>
        <v>0</v>
      </c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f ca="1">IFERROR(__xludf.DUMMYFUNCTION("IMPORTRANGE(""https://docs.google.com/spreadsheets/d/11923uPwbBZFjjGgGUA6NLw09EwE0CqkOc4q9oUmW1yo/edit?usp=sharing"",""เชียงราย!I458"")"),0)</f>
        <v>0</v>
      </c>
      <c r="J563" s="187" t="str">
        <f ca="1">IFERROR(__xludf.DUMMYFUNCTION("IMPORTRANGE(""https://docs.google.com/spreadsheets/d/11923uPwbBZFjjGgGUA6NLw09EwE0CqkOc4q9oUmW1yo/edit?usp=sharing"",""เชียงราย!J458"")"),"")</f>
        <v/>
      </c>
      <c r="K563" s="163">
        <f t="shared" ca="1" si="121"/>
        <v>0</v>
      </c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IFERROR(__xludf.DUMMYFUNCTION("IMPORTRANGE(""https://docs.google.com/spreadsheets/d/11923uPwbBZFjjGgGUA6NLw09EwE0CqkOc4q9oUmW1yo/edit?usp=sharing"",""เชียงราย!I459"")"),3400)</f>
        <v>3400</v>
      </c>
      <c r="J564" s="369">
        <f ca="1">IFERROR(__xludf.DUMMYFUNCTION("IMPORTRANGE(""https://docs.google.com/spreadsheets/d/11923uPwbBZFjjGgGUA6NLw09EwE0CqkOc4q9oUmW1yo/edit?usp=sharing"",""เชียงราย!J459"")"),2231)</f>
        <v>2231</v>
      </c>
      <c r="K564" s="370">
        <f t="shared" ca="1" si="121"/>
        <v>65.617647058823536</v>
      </c>
      <c r="L564" s="371">
        <f ca="1">IFERROR(__xludf.DUMMYFUNCTION("IMPORTRANGE(""https://docs.google.com/spreadsheets/d/11923uPwbBZFjjGgGUA6NLw09EwE0CqkOc4q9oUmW1yo/edit?usp=sharing"",""เชียงราย!L459"")"),165600)</f>
        <v>165600</v>
      </c>
      <c r="M564" s="371"/>
      <c r="N564" s="371">
        <f ca="1">IFERROR(__xludf.DUMMYFUNCTION("IMPORTRANGE(""https://docs.google.com/spreadsheets/d/11923uPwbBZFjjGgGUA6NLw09EwE0CqkOc4q9oUmW1yo/edit?usp=sharing"",""เชียงราย!M459"")"),67370)</f>
        <v>67370</v>
      </c>
      <c r="O564" s="371">
        <f t="shared" ref="O564:O568" ca="1" si="122">+IF(L564&gt;0,N564*100/L564,0)</f>
        <v>40.682367149758456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IFERROR(__xludf.DUMMYFUNCTION("IMPORTRANGE(""https://docs.google.com/spreadsheets/d/11923uPwbBZFjjGgGUA6NLw09EwE0CqkOc4q9oUmW1yo/edit?usp=sharing"",""เชียงราย!L460"")"),0)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IFERROR(__xludf.DUMMYFUNCTION("IMPORTRANGE(""https://docs.google.com/spreadsheets/d/11923uPwbBZFjjGgGUA6NLw09EwE0CqkOc4q9oUmW1yo/edit?usp=sharing"",""เชียงราย!M460"")"),0)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IFERROR(__xludf.DUMMYFUNCTION("IMPORTRANGE(""https://docs.google.com/spreadsheets/d/11923uPwbBZFjjGgGUA6NLw09EwE0CqkOc4q9oUmW1yo/edit?usp=sharing"",""เชียงราย!L461"")"),165600)</f>
        <v>165600</v>
      </c>
      <c r="M566" s="165"/>
      <c r="N566" s="168">
        <f ca="1">IFERROR(__xludf.DUMMYFUNCTION("IMPORTRANGE(""https://docs.google.com/spreadsheets/d/11923uPwbBZFjjGgGUA6NLw09EwE0CqkOc4q9oUmW1yo/edit?usp=sharing"",""เชียงราย!M461"")"),67370)</f>
        <v>67370</v>
      </c>
      <c r="O566" s="168">
        <f t="shared" ca="1" si="122"/>
        <v>40.682367149758456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IFERROR(__xludf.DUMMYFUNCTION("IMPORTRANGE(""https://docs.google.com/spreadsheets/d/11923uPwbBZFjjGgGUA6NLw09EwE0CqkOc4q9oUmW1yo/edit?usp=sharing"",""เชียงราย!L462"")"),0)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IFERROR(__xludf.DUMMYFUNCTION("IMPORTRANGE(""https://docs.google.com/spreadsheets/d/11923uPwbBZFjjGgGUA6NLw09EwE0CqkOc4q9oUmW1yo/edit?usp=sharing"",""เชียงราย!M462"")"),0)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IFERROR(__xludf.DUMMYFUNCTION("IMPORTRANGE(""https://docs.google.com/spreadsheets/d/11923uPwbBZFjjGgGUA6NLw09EwE0CqkOc4q9oUmW1yo/edit?usp=sharing"",""เชียงราย!L463"")"),165600)</f>
        <v>165600</v>
      </c>
      <c r="M568" s="168"/>
      <c r="N568" s="168">
        <f ca="1">IFERROR(__xludf.DUMMYFUNCTION("IMPORTRANGE(""https://docs.google.com/spreadsheets/d/11923uPwbBZFjjGgGUA6NLw09EwE0CqkOc4q9oUmW1yo/edit?usp=sharing"",""เชียงราย!M463"")"),67370)</f>
        <v>67370</v>
      </c>
      <c r="O568" s="168">
        <f t="shared" ca="1" si="122"/>
        <v>40.682367149758456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IFERROR(__xludf.DUMMYFUNCTION("IMPORTRANGE(""https://docs.google.com/spreadsheets/d/11923uPwbBZFjjGgGUA6NLw09EwE0CqkOc4q9oUmW1yo/edit?usp=sharing"",""เชียงราย!M464"")"),0)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IFERROR(__xludf.DUMMYFUNCTION("IMPORTRANGE(""https://docs.google.com/spreadsheets/d/11923uPwbBZFjjGgGUA6NLw09EwE0CqkOc4q9oUmW1yo/edit?usp=sharing"",""เชียงราย!M465"")"),0)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IFERROR(__xludf.DUMMYFUNCTION("IMPORTRANGE(""https://docs.google.com/spreadsheets/d/11923uPwbBZFjjGgGUA6NLw09EwE0CqkOc4q9oUmW1yo/edit?usp=sharing"",""เชียงราย!M466"")"),42000)</f>
        <v>42000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IFERROR(__xludf.DUMMYFUNCTION("IMPORTRANGE(""https://docs.google.com/spreadsheets/d/11923uPwbBZFjjGgGUA6NLw09EwE0CqkOc4q9oUmW1yo/edit?usp=sharing"",""เชียงราย!M467"")"),25370)</f>
        <v>25370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IFERROR(__xludf.DUMMYFUNCTION("IMPORTRANGE(""https://docs.google.com/spreadsheets/d/11923uPwbBZFjjGgGUA6NLw09EwE0CqkOc4q9oUmW1yo/edit?usp=sharing"",""เชียงราย!I468"")"),3400)</f>
        <v>3400</v>
      </c>
      <c r="J573" s="418">
        <f ca="1">IFERROR(__xludf.DUMMYFUNCTION("IMPORTRANGE(""https://docs.google.com/spreadsheets/d/11923uPwbBZFjjGgGUA6NLw09EwE0CqkOc4q9oUmW1yo/edit?usp=sharing"",""เชียงราย!J468"")"),2231)</f>
        <v>2231</v>
      </c>
      <c r="K573" s="201">
        <f ca="1">IF(I573&gt;0,J573*100/I573,0)</f>
        <v>65.617647058823536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IFERROR(__xludf.DUMMYFUNCTION("IMPORTRANGE(""https://docs.google.com/spreadsheets/d/11923uPwbBZFjjGgGUA6NLw09EwE0CqkOc4q9oUmW1yo/edit?usp=sharing"",""เชียงราย!I470"")"),0)</f>
        <v>0</v>
      </c>
      <c r="J575" s="197">
        <f ca="1">IFERROR(__xludf.DUMMYFUNCTION("IMPORTRANGE(""https://docs.google.com/spreadsheets/d/11923uPwbBZFjjGgGUA6NLw09EwE0CqkOc4q9oUmW1yo/edit?usp=sharing"",""เชียงราย!J470"")"),2)</f>
        <v>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IFERROR(__xludf.DUMMYFUNCTION("IMPORTRANGE(""https://docs.google.com/spreadsheets/d/11923uPwbBZFjjGgGUA6NLw09EwE0CqkOc4q9oUmW1yo/edit?usp=sharing"",""เชียงราย!I471"")"),0)</f>
        <v>0</v>
      </c>
      <c r="J576" s="197">
        <f ca="1">IFERROR(__xludf.DUMMYFUNCTION("IMPORTRANGE(""https://docs.google.com/spreadsheets/d/11923uPwbBZFjjGgGUA6NLw09EwE0CqkOc4q9oUmW1yo/edit?usp=sharing"",""เชียงราย!J471"")"),160)</f>
        <v>160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IFERROR(__xludf.DUMMYFUNCTION("IMPORTRANGE(""https://docs.google.com/spreadsheets/d/11923uPwbBZFjjGgGUA6NLw09EwE0CqkOc4q9oUmW1yo/edit?usp=sharing"",""เชียงราย!I472"")"),0)</f>
        <v>0</v>
      </c>
      <c r="J577" s="188">
        <f ca="1">IFERROR(__xludf.DUMMYFUNCTION("IMPORTRANGE(""https://docs.google.com/spreadsheets/d/11923uPwbBZFjjGgGUA6NLw09EwE0CqkOc4q9oUmW1yo/edit?usp=sharing"",""เชียงราย!J472"")"),2052)</f>
        <v>2052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IFERROR(__xludf.DUMMYFUNCTION("IMPORTRANGE(""https://docs.google.com/spreadsheets/d/11923uPwbBZFjjGgGUA6NLw09EwE0CqkOc4q9oUmW1yo/edit?usp=sharing"",""เชียงราย!I473"")"),0)</f>
        <v>0</v>
      </c>
      <c r="J578" s="197">
        <f ca="1">IFERROR(__xludf.DUMMYFUNCTION("IMPORTRANGE(""https://docs.google.com/spreadsheets/d/11923uPwbBZFjjGgGUA6NLw09EwE0CqkOc4q9oUmW1yo/edit?usp=sharing"",""เชียงราย!J473"")"),7)</f>
        <v>7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IFERROR(__xludf.DUMMYFUNCTION("IMPORTRANGE(""https://docs.google.com/spreadsheets/d/11923uPwbBZFjjGgGUA6NLw09EwE0CqkOc4q9oUmW1yo/edit?usp=sharing"",""เชียงราย!I474"")"),0)</f>
        <v>0</v>
      </c>
      <c r="J579" s="197">
        <f ca="1">IFERROR(__xludf.DUMMYFUNCTION("IMPORTRANGE(""https://docs.google.com/spreadsheets/d/11923uPwbBZFjjGgGUA6NLw09EwE0CqkOc4q9oUmW1yo/edit?usp=sharing"",""เชียงราย!J474"")"),12)</f>
        <v>12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IFERROR(__xludf.DUMMYFUNCTION("IMPORTRANGE(""https://docs.google.com/spreadsheets/d/11923uPwbBZFjjGgGUA6NLw09EwE0CqkOc4q9oUmW1yo/edit?usp=sharing"",""เชียงราย!I475"")"),176)</f>
        <v>176</v>
      </c>
      <c r="J580" s="369">
        <f ca="1">IFERROR(__xludf.DUMMYFUNCTION("IMPORTRANGE(""https://docs.google.com/spreadsheets/d/11923uPwbBZFjjGgGUA6NLw09EwE0CqkOc4q9oUmW1yo/edit?usp=sharing"",""เชียงราย!J475"")"),2)</f>
        <v>2</v>
      </c>
      <c r="K580" s="370">
        <f ca="1">IF(I580&gt;0,J580*100/I580,0)</f>
        <v>1.1363636363636365</v>
      </c>
      <c r="L580" s="371">
        <f ca="1">IFERROR(__xludf.DUMMYFUNCTION("IMPORTRANGE(""https://docs.google.com/spreadsheets/d/11923uPwbBZFjjGgGUA6NLw09EwE0CqkOc4q9oUmW1yo/edit?usp=sharing"",""เชียงราย!L475"")"),359076)</f>
        <v>359076</v>
      </c>
      <c r="M580" s="371"/>
      <c r="N580" s="371">
        <f ca="1">IFERROR(__xludf.DUMMYFUNCTION("IMPORTRANGE(""https://docs.google.com/spreadsheets/d/11923uPwbBZFjjGgGUA6NLw09EwE0CqkOc4q9oUmW1yo/edit?usp=sharing"",""เชียงราย!M475"")"),54140)</f>
        <v>54140</v>
      </c>
      <c r="O580" s="371">
        <f t="shared" ref="O580:O584" ca="1" si="124">+IF(L580&gt;0,N580*100/L580,0)</f>
        <v>15.07758803150308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IFERROR(__xludf.DUMMYFUNCTION("IMPORTRANGE(""https://docs.google.com/spreadsheets/d/11923uPwbBZFjjGgGUA6NLw09EwE0CqkOc4q9oUmW1yo/edit?usp=sharing"",""เชียงราย!L476"")"),0)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IFERROR(__xludf.DUMMYFUNCTION("IMPORTRANGE(""https://docs.google.com/spreadsheets/d/11923uPwbBZFjjGgGUA6NLw09EwE0CqkOc4q9oUmW1yo/edit?usp=sharing"",""เชียงราย!M476"")"),0)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IFERROR(__xludf.DUMMYFUNCTION("IMPORTRANGE(""https://docs.google.com/spreadsheets/d/11923uPwbBZFjjGgGUA6NLw09EwE0CqkOc4q9oUmW1yo/edit?usp=sharing"",""เชียงราย!L477"")"),359076)</f>
        <v>359076</v>
      </c>
      <c r="M582" s="165"/>
      <c r="N582" s="168">
        <f ca="1">IFERROR(__xludf.DUMMYFUNCTION("IMPORTRANGE(""https://docs.google.com/spreadsheets/d/11923uPwbBZFjjGgGUA6NLw09EwE0CqkOc4q9oUmW1yo/edit?usp=sharing"",""เชียงราย!M477"")"),54140)</f>
        <v>54140</v>
      </c>
      <c r="O582" s="168">
        <f t="shared" ca="1" si="124"/>
        <v>15.07758803150308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IFERROR(__xludf.DUMMYFUNCTION("IMPORTRANGE(""https://docs.google.com/spreadsheets/d/11923uPwbBZFjjGgGUA6NLw09EwE0CqkOc4q9oUmW1yo/edit?usp=sharing"",""เชียงราย!L478"")"),0)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IFERROR(__xludf.DUMMYFUNCTION("IMPORTRANGE(""https://docs.google.com/spreadsheets/d/11923uPwbBZFjjGgGUA6NLw09EwE0CqkOc4q9oUmW1yo/edit?usp=sharing"",""เชียงราย!M478"")"),0)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IFERROR(__xludf.DUMMYFUNCTION("IMPORTRANGE(""https://docs.google.com/spreadsheets/d/11923uPwbBZFjjGgGUA6NLw09EwE0CqkOc4q9oUmW1yo/edit?usp=sharing"",""เชียงราย!L479"")"),359076)</f>
        <v>359076</v>
      </c>
      <c r="M584" s="168"/>
      <c r="N584" s="168">
        <f ca="1">IFERROR(__xludf.DUMMYFUNCTION("IMPORTRANGE(""https://docs.google.com/spreadsheets/d/11923uPwbBZFjjGgGUA6NLw09EwE0CqkOc4q9oUmW1yo/edit?usp=sharing"",""เชียงราย!M479"")"),54140)</f>
        <v>54140</v>
      </c>
      <c r="O584" s="168">
        <f t="shared" ca="1" si="124"/>
        <v>15.07758803150308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IFERROR(__xludf.DUMMYFUNCTION("IMPORTRANGE(""https://docs.google.com/spreadsheets/d/11923uPwbBZFjjGgGUA6NLw09EwE0CqkOc4q9oUmW1yo/edit?usp=sharing"",""เชียงราย!M480"")"),0)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IFERROR(__xludf.DUMMYFUNCTION("IMPORTRANGE(""https://docs.google.com/spreadsheets/d/11923uPwbBZFjjGgGUA6NLw09EwE0CqkOc4q9oUmW1yo/edit?usp=sharing"",""เชียงราย!M481"")"),0)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IFERROR(__xludf.DUMMYFUNCTION("IMPORTRANGE(""https://docs.google.com/spreadsheets/d/11923uPwbBZFjjGgGUA6NLw09EwE0CqkOc4q9oUmW1yo/edit?usp=sharing"",""เชียงราย!M482"")"),38000)</f>
        <v>38000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IFERROR(__xludf.DUMMYFUNCTION("IMPORTRANGE(""https://docs.google.com/spreadsheets/d/11923uPwbBZFjjGgGUA6NLw09EwE0CqkOc4q9oUmW1yo/edit?usp=sharing"",""เชียงราย!M483"")"),16140)</f>
        <v>16140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IFERROR(__xludf.DUMMYFUNCTION("IMPORTRANGE(""https://docs.google.com/spreadsheets/d/11923uPwbBZFjjGgGUA6NLw09EwE0CqkOc4q9oUmW1yo/edit?usp=sharing"",""เชียงราย!I484"")"),176)</f>
        <v>176</v>
      </c>
      <c r="J589" s="187">
        <f ca="1">IFERROR(__xludf.DUMMYFUNCTION("IMPORTRANGE(""https://docs.google.com/spreadsheets/d/11923uPwbBZFjjGgGUA6NLw09EwE0CqkOc4q9oUmW1yo/edit?usp=sharing"",""เชียงราย!J484"")"),62)</f>
        <v>62</v>
      </c>
      <c r="K589" s="163">
        <f t="shared" ref="K589:K596" ca="1" si="125">IF(I589&gt;0,J589*100/I589,0)</f>
        <v>35.227272727272727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IFERROR(__xludf.DUMMYFUNCTION("IMPORTRANGE(""https://docs.google.com/spreadsheets/d/11923uPwbBZFjjGgGUA6NLw09EwE0CqkOc4q9oUmW1yo/edit?usp=sharing"",""เชียงราย!I485"")"),0)</f>
        <v>0</v>
      </c>
      <c r="J590" s="187">
        <f ca="1">IFERROR(__xludf.DUMMYFUNCTION("IMPORTRANGE(""https://docs.google.com/spreadsheets/d/11923uPwbBZFjjGgGUA6NLw09EwE0CqkOc4q9oUmW1yo/edit?usp=sharing"",""เชียงราย!J485"")"),37.1)</f>
        <v>37.1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IFERROR(__xludf.DUMMYFUNCTION("IMPORTRANGE(""https://docs.google.com/spreadsheets/d/11923uPwbBZFjjGgGUA6NLw09EwE0CqkOc4q9oUmW1yo/edit?usp=sharing"",""เชียงราย!I486"")"),176)</f>
        <v>176</v>
      </c>
      <c r="J591" s="187">
        <f ca="1">IFERROR(__xludf.DUMMYFUNCTION("IMPORTRANGE(""https://docs.google.com/spreadsheets/d/11923uPwbBZFjjGgGUA6NLw09EwE0CqkOc4q9oUmW1yo/edit?usp=sharing"",""เชียงราย!J486"")"),1)</f>
        <v>1</v>
      </c>
      <c r="K591" s="163">
        <f t="shared" ca="1" si="125"/>
        <v>0.56818181818181823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IFERROR(__xludf.DUMMYFUNCTION("IMPORTRANGE(""https://docs.google.com/spreadsheets/d/11923uPwbBZFjjGgGUA6NLw09EwE0CqkOc4q9oUmW1yo/edit?usp=sharing"",""เชียงราย!I487"")"),0)</f>
        <v>0</v>
      </c>
      <c r="J592" s="187">
        <f ca="1">IFERROR(__xludf.DUMMYFUNCTION("IMPORTRANGE(""https://docs.google.com/spreadsheets/d/11923uPwbBZFjjGgGUA6NLw09EwE0CqkOc4q9oUmW1yo/edit?usp=sharing"",""เชียงราย!J487"")"),0.42)</f>
        <v>0.42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IFERROR(__xludf.DUMMYFUNCTION("IMPORTRANGE(""https://docs.google.com/spreadsheets/d/11923uPwbBZFjjGgGUA6NLw09EwE0CqkOc4q9oUmW1yo/edit?usp=sharing"",""เชียงราย!I488"")"),176)</f>
        <v>176</v>
      </c>
      <c r="J593" s="187">
        <f ca="1">IFERROR(__xludf.DUMMYFUNCTION("IMPORTRANGE(""https://docs.google.com/spreadsheets/d/11923uPwbBZFjjGgGUA6NLw09EwE0CqkOc4q9oUmW1yo/edit?usp=sharing"",""เชียงราย!J488"")"),0)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IFERROR(__xludf.DUMMYFUNCTION("IMPORTRANGE(""https://docs.google.com/spreadsheets/d/11923uPwbBZFjjGgGUA6NLw09EwE0CqkOc4q9oUmW1yo/edit?usp=sharing"",""เชียงราย!I489"")"),0)</f>
        <v>0</v>
      </c>
      <c r="J594" s="187">
        <f ca="1">IFERROR(__xludf.DUMMYFUNCTION("IMPORTRANGE(""https://docs.google.com/spreadsheets/d/11923uPwbBZFjjGgGUA6NLw09EwE0CqkOc4q9oUmW1yo/edit?usp=sharing"",""เชียงราย!J489"")"),0)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IFERROR(__xludf.DUMMYFUNCTION("IMPORTRANGE(""https://docs.google.com/spreadsheets/d/11923uPwbBZFjjGgGUA6NLw09EwE0CqkOc4q9oUmW1yo/edit?usp=sharing"",""เชียงราย!I490"")"),176)</f>
        <v>176</v>
      </c>
      <c r="J595" s="187">
        <f ca="1">IFERROR(__xludf.DUMMYFUNCTION("IMPORTRANGE(""https://docs.google.com/spreadsheets/d/11923uPwbBZFjjGgGUA6NLw09EwE0CqkOc4q9oUmW1yo/edit?usp=sharing"",""เชียงราย!J490"")"),2)</f>
        <v>2</v>
      </c>
      <c r="K595" s="163">
        <f t="shared" ca="1" si="125"/>
        <v>1.1363636363636365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IFERROR(__xludf.DUMMYFUNCTION("IMPORTRANGE(""https://docs.google.com/spreadsheets/d/11923uPwbBZFjjGgGUA6NLw09EwE0CqkOc4q9oUmW1yo/edit?usp=sharing"",""เชียงราย!I491"")"),0)</f>
        <v>0</v>
      </c>
      <c r="J596" s="240">
        <f ca="1">IFERROR(__xludf.DUMMYFUNCTION("IMPORTRANGE(""https://docs.google.com/spreadsheets/d/11923uPwbBZFjjGgGUA6NLw09EwE0CqkOc4q9oUmW1yo/edit?usp=sharing"",""เชียงราย!J491"")"),0.76)</f>
        <v>0.76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IFERROR(__xludf.DUMMYFUNCTION("IMPORTRANGE(""https://docs.google.com/spreadsheets/d/11923uPwbBZFjjGgGUA6NLw09EwE0CqkOc4q9oUmW1yo/edit?usp=sharing"",""เชียงราย!I492"")"),220)</f>
        <v>220</v>
      </c>
      <c r="J597" s="485">
        <f ca="1">IFERROR(__xludf.DUMMYFUNCTION("IMPORTRANGE(""https://docs.google.com/spreadsheets/d/11923uPwbBZFjjGgGUA6NLw09EwE0CqkOc4q9oUmW1yo/edit?usp=sharing"",""เชียงราย!J492"")"),0)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IFERROR(__xludf.DUMMYFUNCTION("IMPORTRANGE(""https://docs.google.com/spreadsheets/d/11923uPwbBZFjjGgGUA6NLw09EwE0CqkOc4q9oUmW1yo/edit?usp=sharing"",""เชียงราย!L492"")"),15500)</f>
        <v>15500</v>
      </c>
      <c r="M597" s="410"/>
      <c r="N597" s="410">
        <f ca="1">IFERROR(__xludf.DUMMYFUNCTION("IMPORTRANGE(""https://docs.google.com/spreadsheets/d/11923uPwbBZFjjGgGUA6NLw09EwE0CqkOc4q9oUmW1yo/edit?usp=sharing"",""เชียงราย!M492"")"),2600)</f>
        <v>2600</v>
      </c>
      <c r="O597" s="410">
        <f t="shared" ref="O597:O601" ca="1" si="126">+IF(L597&gt;0,N597*100/L597,0)</f>
        <v>16.774193548387096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IFERROR(__xludf.DUMMYFUNCTION("IMPORTRANGE(""https://docs.google.com/spreadsheets/d/11923uPwbBZFjjGgGUA6NLw09EwE0CqkOc4q9oUmW1yo/edit?usp=sharing"",""เชียงราย!L493"")"),0)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IFERROR(__xludf.DUMMYFUNCTION("IMPORTRANGE(""https://docs.google.com/spreadsheets/d/11923uPwbBZFjjGgGUA6NLw09EwE0CqkOc4q9oUmW1yo/edit?usp=sharing"",""เชียงราย!M493"")"),0)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IFERROR(__xludf.DUMMYFUNCTION("IMPORTRANGE(""https://docs.google.com/spreadsheets/d/11923uPwbBZFjjGgGUA6NLw09EwE0CqkOc4q9oUmW1yo/edit?usp=sharing"",""เชียงราย!L494"")"),15500)</f>
        <v>15500</v>
      </c>
      <c r="M599" s="165"/>
      <c r="N599" s="168">
        <f ca="1">IFERROR(__xludf.DUMMYFUNCTION("IMPORTRANGE(""https://docs.google.com/spreadsheets/d/11923uPwbBZFjjGgGUA6NLw09EwE0CqkOc4q9oUmW1yo/edit?usp=sharing"",""เชียงราย!M494"")"),2600)</f>
        <v>2600</v>
      </c>
      <c r="O599" s="168">
        <f t="shared" ca="1" si="126"/>
        <v>16.774193548387096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IFERROR(__xludf.DUMMYFUNCTION("IMPORTRANGE(""https://docs.google.com/spreadsheets/d/11923uPwbBZFjjGgGUA6NLw09EwE0CqkOc4q9oUmW1yo/edit?usp=sharing"",""เชียงราย!L495"")"),0)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IFERROR(__xludf.DUMMYFUNCTION("IMPORTRANGE(""https://docs.google.com/spreadsheets/d/11923uPwbBZFjjGgGUA6NLw09EwE0CqkOc4q9oUmW1yo/edit?usp=sharing"",""เชียงราย!M495"")"),0)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IFERROR(__xludf.DUMMYFUNCTION("IMPORTRANGE(""https://docs.google.com/spreadsheets/d/11923uPwbBZFjjGgGUA6NLw09EwE0CqkOc4q9oUmW1yo/edit?usp=sharing"",""เชียงราย!L496"")"),15500)</f>
        <v>15500</v>
      </c>
      <c r="M601" s="168"/>
      <c r="N601" s="168">
        <f ca="1">IFERROR(__xludf.DUMMYFUNCTION("IMPORTRANGE(""https://docs.google.com/spreadsheets/d/11923uPwbBZFjjGgGUA6NLw09EwE0CqkOc4q9oUmW1yo/edit?usp=sharing"",""เชียงราย!M496"")"),2600)</f>
        <v>2600</v>
      </c>
      <c r="O601" s="168">
        <f t="shared" ca="1" si="126"/>
        <v>16.774193548387096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IFERROR(__xludf.DUMMYFUNCTION("IMPORTRANGE(""https://docs.google.com/spreadsheets/d/11923uPwbBZFjjGgGUA6NLw09EwE0CqkOc4q9oUmW1yo/edit?usp=sharing"",""เชียงราย!M497"")"),0)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IFERROR(__xludf.DUMMYFUNCTION("IMPORTRANGE(""https://docs.google.com/spreadsheets/d/11923uPwbBZFjjGgGUA6NLw09EwE0CqkOc4q9oUmW1yo/edit?usp=sharing"",""เชียงราย!M498"")"),0)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IFERROR(__xludf.DUMMYFUNCTION("IMPORTRANGE(""https://docs.google.com/spreadsheets/d/11923uPwbBZFjjGgGUA6NLw09EwE0CqkOc4q9oUmW1yo/edit?usp=sharing"",""เชียงราย!M499"")"),0)</f>
        <v>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IFERROR(__xludf.DUMMYFUNCTION("IMPORTRANGE(""https://docs.google.com/spreadsheets/d/11923uPwbBZFjjGgGUA6NLw09EwE0CqkOc4q9oUmW1yo/edit?usp=sharing"",""เชียงราย!M500"")"),2600)</f>
        <v>2600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IFERROR(__xludf.DUMMYFUNCTION("IMPORTRANGE(""https://docs.google.com/spreadsheets/d/11923uPwbBZFjjGgGUA6NLw09EwE0CqkOc4q9oUmW1yo/edit?usp=sharing"",""เชียงราย!J502"")"),0)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IFERROR(__xludf.DUMMYFUNCTION("IMPORTRANGE(""https://docs.google.com/spreadsheets/d/11923uPwbBZFjjGgGUA6NLw09EwE0CqkOc4q9oUmW1yo/edit?usp=sharing"",""เชียงราย!J503"")"),1)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IFERROR(__xludf.DUMMYFUNCTION("IMPORTRANGE(""https://docs.google.com/spreadsheets/d/11923uPwbBZFjjGgGUA6NLw09EwE0CqkOc4q9oUmW1yo/edit?usp=sharing"",""เชียงราย!J166"")"),0)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IFERROR(__xludf.DUMMYFUNCTION("IMPORTRANGE(""https://docs.google.com/spreadsheets/d/11923uPwbBZFjjGgGUA6NLw09EwE0CqkOc4q9oUmW1yo/edit?usp=sharing"",""เชียงราย!J166"")"),0)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IFERROR(__xludf.DUMMYFUNCTION("IMPORTRANGE(""https://docs.google.com/spreadsheets/d/11923uPwbBZFjjGgGUA6NLw09EwE0CqkOc4q9oUmW1yo/edit?usp=sharing"",""เชียงราย!I506"")"),220)</f>
        <v>220</v>
      </c>
      <c r="J611" s="162">
        <f ca="1">IFERROR(__xludf.DUMMYFUNCTION("IMPORTRANGE(""https://docs.google.com/spreadsheets/d/11923uPwbBZFjjGgGUA6NLw09EwE0CqkOc4q9oUmW1yo/edit?usp=sharing"",""เชียงราย!J506"")"),0)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IFERROR(__xludf.DUMMYFUNCTION("IMPORTRANGE(""https://docs.google.com/spreadsheets/d/11923uPwbBZFjjGgGUA6NLw09EwE0CqkOc4q9oUmW1yo/edit?usp=sharing"",""เชียงราย!I507"")"),0)</f>
        <v>0</v>
      </c>
      <c r="J612" s="197">
        <f ca="1">IFERROR(__xludf.DUMMYFUNCTION("IMPORTRANGE(""https://docs.google.com/spreadsheets/d/11923uPwbBZFjjGgGUA6NLw09EwE0CqkOc4q9oUmW1yo/edit?usp=sharing"",""เชียงราย!J507"")"),0)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IFERROR(__xludf.DUMMYFUNCTION("IMPORTRANGE(""https://docs.google.com/spreadsheets/d/11923uPwbBZFjjGgGUA6NLw09EwE0CqkOc4q9oUmW1yo/edit?usp=sharing"",""เชียงราย!I508"")"),0)</f>
        <v>0</v>
      </c>
      <c r="J613" s="197">
        <f ca="1">IFERROR(__xludf.DUMMYFUNCTION("IMPORTRANGE(""https://docs.google.com/spreadsheets/d/11923uPwbBZFjjGgGUA6NLw09EwE0CqkOc4q9oUmW1yo/edit?usp=sharing"",""เชียงราย!J508"")"),0)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IFERROR(__xludf.DUMMYFUNCTION("IMPORTRANGE(""https://docs.google.com/spreadsheets/d/11923uPwbBZFjjGgGUA6NLw09EwE0CqkOc4q9oUmW1yo/edit?usp=sharing"",""เชียงราย!I509"")"),0)</f>
        <v>0</v>
      </c>
      <c r="J614" s="197">
        <f ca="1">IFERROR(__xludf.DUMMYFUNCTION("IMPORTRANGE(""https://docs.google.com/spreadsheets/d/11923uPwbBZFjjGgGUA6NLw09EwE0CqkOc4q9oUmW1yo/edit?usp=sharing"",""เชียงราย!J509"")"),0)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IFERROR(__xludf.DUMMYFUNCTION("IMPORTRANGE(""https://docs.google.com/spreadsheets/d/11923uPwbBZFjjGgGUA6NLw09EwE0CqkOc4q9oUmW1yo/edit?usp=sharing"",""เชียงราย!I510"")"),0)</f>
        <v>0</v>
      </c>
      <c r="J615" s="197">
        <f ca="1">IFERROR(__xludf.DUMMYFUNCTION("IMPORTRANGE(""https://docs.google.com/spreadsheets/d/11923uPwbBZFjjGgGUA6NLw09EwE0CqkOc4q9oUmW1yo/edit?usp=sharing"",""เชียงราย!J510"")"),0)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IFERROR(__xludf.DUMMYFUNCTION("IMPORTRANGE(""https://docs.google.com/spreadsheets/d/11923uPwbBZFjjGgGUA6NLw09EwE0CqkOc4q9oUmW1yo/edit?usp=sharing"",""เชียงราย!I511"")"),0)</f>
        <v>0</v>
      </c>
      <c r="J616" s="197">
        <f ca="1">IFERROR(__xludf.DUMMYFUNCTION("IMPORTRANGE(""https://docs.google.com/spreadsheets/d/11923uPwbBZFjjGgGUA6NLw09EwE0CqkOc4q9oUmW1yo/edit?usp=sharing"",""เชียงราย!J511"")"),0)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IFERROR(__xludf.DUMMYFUNCTION("IMPORTRANGE(""https://docs.google.com/spreadsheets/d/11923uPwbBZFjjGgGUA6NLw09EwE0CqkOc4q9oUmW1yo/edit?usp=sharing"",""เชียงราย!I512"")"),0)</f>
        <v>0</v>
      </c>
      <c r="J617" s="187">
        <f ca="1">IFERROR(__xludf.DUMMYFUNCTION("IMPORTRANGE(""https://docs.google.com/spreadsheets/d/11923uPwbBZFjjGgGUA6NLw09EwE0CqkOc4q9oUmW1yo/edit?usp=sharing"",""เชียงราย!J512"")"),0)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IFERROR(__xludf.DUMMYFUNCTION("IMPORTRANGE(""https://docs.google.com/spreadsheets/d/11923uPwbBZFjjGgGUA6NLw09EwE0CqkOc4q9oUmW1yo/edit?usp=sharing"",""เชียงราย!I513"")"),0)</f>
        <v>0</v>
      </c>
      <c r="J618" s="188">
        <f ca="1">IFERROR(__xludf.DUMMYFUNCTION("IMPORTRANGE(""https://docs.google.com/spreadsheets/d/11923uPwbBZFjjGgGUA6NLw09EwE0CqkOc4q9oUmW1yo/edit?usp=sharing"",""เชียงราย!J513"")"),0)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IFERROR(__xludf.DUMMYFUNCTION("IMPORTRANGE(""https://docs.google.com/spreadsheets/d/11923uPwbBZFjjGgGUA6NLw09EwE0CqkOc4q9oUmW1yo/edit?usp=sharing"",""เชียงราย!I514"")"),0)</f>
        <v>0</v>
      </c>
      <c r="J619" s="188">
        <f ca="1">IFERROR(__xludf.DUMMYFUNCTION("IMPORTRANGE(""https://docs.google.com/spreadsheets/d/11923uPwbBZFjjGgGUA6NLw09EwE0CqkOc4q9oUmW1yo/edit?usp=sharing"",""เชียงราย!J514"")"),0)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IFERROR(__xludf.DUMMYFUNCTION("IMPORTRANGE(""https://docs.google.com/spreadsheets/d/11923uPwbBZFjjGgGUA6NLw09EwE0CqkOc4q9oUmW1yo/edit?usp=sharing"",""เชียงราย!I515"")"),2288)</f>
        <v>2288</v>
      </c>
      <c r="J620" s="202">
        <f ca="1">IFERROR(__xludf.DUMMYFUNCTION("IMPORTRANGE(""https://docs.google.com/spreadsheets/d/11923uPwbBZFjjGgGUA6NLw09EwE0CqkOc4q9oUmW1yo/edit?usp=sharing"",""เชียงราย!J515"")"),0)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IFERROR(__xludf.DUMMYFUNCTION("IMPORTRANGE(""https://docs.google.com/spreadsheets/d/11923uPwbBZFjjGgGUA6NLw09EwE0CqkOc4q9oUmW1yo/edit?usp=sharing"",""เชียงราย!I516"")"),0)</f>
        <v>0</v>
      </c>
      <c r="J621" s="202">
        <f ca="1">IFERROR(__xludf.DUMMYFUNCTION("IMPORTRANGE(""https://docs.google.com/spreadsheets/d/11923uPwbBZFjjGgGUA6NLw09EwE0CqkOc4q9oUmW1yo/edit?usp=sharing"",""เชียงราย!J516"")"),0)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IFERROR(__xludf.DUMMYFUNCTION("IMPORTRANGE(""https://docs.google.com/spreadsheets/d/11923uPwbBZFjjGgGUA6NLw09EwE0CqkOc4q9oUmW1yo/edit?usp=sharing"",""เชียงราย!I517"")"),0)</f>
        <v>0</v>
      </c>
      <c r="J622" s="188">
        <f ca="1">IFERROR(__xludf.DUMMYFUNCTION("IMPORTRANGE(""https://docs.google.com/spreadsheets/d/11923uPwbBZFjjGgGUA6NLw09EwE0CqkOc4q9oUmW1yo/edit?usp=sharing"",""เชียงราย!J517"")"),0)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IFERROR(__xludf.DUMMYFUNCTION("IMPORTRANGE(""https://docs.google.com/spreadsheets/d/11923uPwbBZFjjGgGUA6NLw09EwE0CqkOc4q9oUmW1yo/edit?usp=sharing"",""เชียงราย!I518"")"),0)</f>
        <v>0</v>
      </c>
      <c r="J623" s="188">
        <f ca="1">IFERROR(__xludf.DUMMYFUNCTION("IMPORTRANGE(""https://docs.google.com/spreadsheets/d/11923uPwbBZFjjGgGUA6NLw09EwE0CqkOc4q9oUmW1yo/edit?usp=sharing"",""เชียงราย!J518"")"),0)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IFERROR(__xludf.DUMMYFUNCTION("IMPORTRANGE(""https://docs.google.com/spreadsheets/d/11923uPwbBZFjjGgGUA6NLw09EwE0CqkOc4q9oUmW1yo/edit?usp=sharing"",""เชียงราย!I519"")"),0)</f>
        <v>0</v>
      </c>
      <c r="J624" s="187">
        <f ca="1">IFERROR(__xludf.DUMMYFUNCTION("IMPORTRANGE(""https://docs.google.com/spreadsheets/d/11923uPwbBZFjjGgGUA6NLw09EwE0CqkOc4q9oUmW1yo/edit?usp=sharing"",""เชียงราย!J519"")"),0)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IFERROR(__xludf.DUMMYFUNCTION("IMPORTRANGE(""https://docs.google.com/spreadsheets/d/11923uPwbBZFjjGgGUA6NLw09EwE0CqkOc4q9oUmW1yo/edit?usp=sharing"",""เชียงราย!I520"")"),0)</f>
        <v>0</v>
      </c>
      <c r="J625" s="188">
        <f ca="1">IFERROR(__xludf.DUMMYFUNCTION("IMPORTRANGE(""https://docs.google.com/spreadsheets/d/11923uPwbBZFjjGgGUA6NLw09EwE0CqkOc4q9oUmW1yo/edit?usp=sharing"",""เชียงราย!J520"")"),0)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IFERROR(__xludf.DUMMYFUNCTION("IMPORTRANGE(""https://docs.google.com/spreadsheets/d/11923uPwbBZFjjGgGUA6NLw09EwE0CqkOc4q9oUmW1yo/edit?usp=sharing"",""เชียงราย!I521"")"),0)</f>
        <v>0</v>
      </c>
      <c r="J626" s="188">
        <f ca="1">IFERROR(__xludf.DUMMYFUNCTION("IMPORTRANGE(""https://docs.google.com/spreadsheets/d/11923uPwbBZFjjGgGUA6NLw09EwE0CqkOc4q9oUmW1yo/edit?usp=sharing"",""เชียงราย!J521"")"),0)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IFERROR(__xludf.DUMMYFUNCTION("IMPORTRANGE(""https://docs.google.com/spreadsheets/d/11923uPwbBZFjjGgGUA6NLw09EwE0CqkOc4q9oUmW1yo/edit?usp=sharing"",""เชียงราย!I523"")"),7774600)</f>
        <v>7774600</v>
      </c>
      <c r="J628" s="339">
        <f ca="1">IFERROR(__xludf.DUMMYFUNCTION("IMPORTRANGE(""https://docs.google.com/spreadsheets/d/11923uPwbBZFjjGgGUA6NLw09EwE0CqkOc4q9oUmW1yo/edit?usp=sharing"",""เชียงราย!J523"")"),540000)</f>
        <v>540000</v>
      </c>
      <c r="K628" s="340">
        <f t="shared" ref="K628:K635" ca="1" si="129">IF(I628&gt;0,J628*100/I628,0)</f>
        <v>6.9456949553674789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IFERROR(__xludf.DUMMYFUNCTION("IMPORTRANGE(""https://docs.google.com/spreadsheets/d/11923uPwbBZFjjGgGUA6NLw09EwE0CqkOc4q9oUmW1yo/edit?usp=sharing"",""เชียงราย!I524"")"),325)</f>
        <v>325</v>
      </c>
      <c r="J629" s="339">
        <f ca="1">IFERROR(__xludf.DUMMYFUNCTION("IMPORTRANGE(""https://docs.google.com/spreadsheets/d/11923uPwbBZFjjGgGUA6NLw09EwE0CqkOc4q9oUmW1yo/edit?usp=sharing"",""เชียงราย!J524"")"),19)</f>
        <v>19</v>
      </c>
      <c r="K629" s="340">
        <f t="shared" ca="1" si="129"/>
        <v>5.8461538461538458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39">
        <f ca="1">IFERROR(__xludf.DUMMYFUNCTION("IMPORTRANGE(""https://docs.google.com/spreadsheets/d/11923uPwbBZFjjGgGUA6NLw09EwE0CqkOc4q9oUmW1yo/edit?usp=sharing"",""เชียงราย!J525"")"),610871.76)</f>
        <v>610871.76</v>
      </c>
      <c r="K630" s="340">
        <f t="shared" ca="1" si="129"/>
        <v>9.5493479395514935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IFERROR(__xludf.DUMMYFUNCTION("IMPORTRANGE(""https://docs.google.com/spreadsheets/d/11923uPwbBZFjjGgGUA6NLw09EwE0CqkOc4q9oUmW1yo/edit?usp=sharing"",""เชียงราย!I526"")"),162)</f>
        <v>162</v>
      </c>
      <c r="J631" s="339">
        <f ca="1">IFERROR(__xludf.DUMMYFUNCTION("IMPORTRANGE(""https://docs.google.com/spreadsheets/d/11923uPwbBZFjjGgGUA6NLw09EwE0CqkOc4q9oUmW1yo/edit?usp=sharing"",""เชียงราย!J526"")"),70)</f>
        <v>70</v>
      </c>
      <c r="K631" s="340">
        <f t="shared" ca="1" si="129"/>
        <v>43.209876543209873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IFERROR(__xludf.DUMMYFUNCTION("IMPORTRANGE(""https://docs.google.com/spreadsheets/d/11923uPwbBZFjjGgGUA6NLw09EwE0CqkOc4q9oUmW1yo/edit?usp=sharing"",""เชียงราย!I527"")"),742206.51)</f>
        <v>742206.51</v>
      </c>
      <c r="J632" s="339">
        <f ca="1">IFERROR(__xludf.DUMMYFUNCTION("IMPORTRANGE(""https://docs.google.com/spreadsheets/d/11923uPwbBZFjjGgGUA6NLw09EwE0CqkOc4q9oUmW1yo/edit?usp=sharing"",""เชียงราย!J527"")"),0)</f>
        <v>0</v>
      </c>
      <c r="K632" s="340">
        <f t="shared" ca="1" si="129"/>
        <v>0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IFERROR(__xludf.DUMMYFUNCTION("IMPORTRANGE(""https://docs.google.com/spreadsheets/d/11923uPwbBZFjjGgGUA6NLw09EwE0CqkOc4q9oUmW1yo/edit?usp=sharing"",""เชียงราย!I528"")"),15)</f>
        <v>15</v>
      </c>
      <c r="J633" s="339">
        <f ca="1">IFERROR(__xludf.DUMMYFUNCTION("IMPORTRANGE(""https://docs.google.com/spreadsheets/d/11923uPwbBZFjjGgGUA6NLw09EwE0CqkOc4q9oUmW1yo/edit?usp=sharing"",""เชียงราย!J528"")"),0)</f>
        <v>0</v>
      </c>
      <c r="K633" s="340">
        <f t="shared" ca="1" si="129"/>
        <v>0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IFERROR(__xludf.DUMMYFUNCTION("IMPORTRANGE(""https://docs.google.com/spreadsheets/d/11923uPwbBZFjjGgGUA6NLw09EwE0CqkOc4q9oUmW1yo/edit?usp=sharing"",""เชียงราย!I529"")"),4000000)</f>
        <v>4000000</v>
      </c>
      <c r="J634" s="339">
        <f ca="1">IFERROR(__xludf.DUMMYFUNCTION("IMPORTRANGE(""https://docs.google.com/spreadsheets/d/11923uPwbBZFjjGgGUA6NLw09EwE0CqkOc4q9oUmW1yo/edit?usp=sharing"",""เชียงราย!J529"")"),0)</f>
        <v>0</v>
      </c>
      <c r="K634" s="340">
        <f t="shared" ca="1" si="129"/>
        <v>0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IFERROR(__xludf.DUMMYFUNCTION("IMPORTRANGE(""https://docs.google.com/spreadsheets/d/11923uPwbBZFjjGgGUA6NLw09EwE0CqkOc4q9oUmW1yo/edit?usp=sharing"",""เชียงราย!I530"")"),162)</f>
        <v>162</v>
      </c>
      <c r="J635" s="502">
        <f ca="1">IFERROR(__xludf.DUMMYFUNCTION("IMPORTRANGE(""https://docs.google.com/spreadsheets/d/11923uPwbBZFjjGgGUA6NLw09EwE0CqkOc4q9oUmW1yo/edit?usp=sharing"",""เชียงราย!J530"")"),0)</f>
        <v>0</v>
      </c>
      <c r="K635" s="484">
        <f t="shared" ca="1" si="129"/>
        <v>0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9" width="13.90625" bestFit="1" customWidth="1"/>
    <col min="10" max="10" width="11.90625" bestFit="1" customWidth="1"/>
    <col min="11" max="11" width="11" bestFit="1" customWidth="1"/>
    <col min="12" max="13" width="20.08984375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242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7371584</v>
      </c>
      <c r="M8" s="23">
        <f t="shared" ca="1" si="0"/>
        <v>2650595</v>
      </c>
      <c r="N8" s="23">
        <f t="shared" ca="1" si="0"/>
        <v>2766473.2800000003</v>
      </c>
      <c r="O8" s="22">
        <f t="shared" ref="O8:O16" ca="1" si="1">IF(L8&gt;0,N8*100/L8,0)</f>
        <v>37.528884972347868</v>
      </c>
      <c r="P8" s="22">
        <f t="shared" ref="P8:P16" ca="1" si="2">IF(M8&gt;0,N8*100/M8,0)</f>
        <v>104.37178369384988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7371584</v>
      </c>
      <c r="M10" s="30">
        <f t="shared" ca="1" si="4"/>
        <v>2650595</v>
      </c>
      <c r="N10" s="30">
        <f t="shared" ca="1" si="4"/>
        <v>2766473.2800000003</v>
      </c>
      <c r="O10" s="29">
        <f t="shared" ca="1" si="1"/>
        <v>37.528884972347868</v>
      </c>
      <c r="P10" s="29">
        <f t="shared" ca="1" si="2"/>
        <v>104.37178369384988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7060184</v>
      </c>
      <c r="M12" s="38">
        <f t="shared" ca="1" si="6"/>
        <v>2339195</v>
      </c>
      <c r="N12" s="38">
        <f t="shared" ca="1" si="6"/>
        <v>2455073.2800000003</v>
      </c>
      <c r="O12" s="38">
        <f t="shared" ca="1" si="1"/>
        <v>34.773502786896209</v>
      </c>
      <c r="P12" s="38">
        <f t="shared" ca="1" si="2"/>
        <v>104.95376742853847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2412000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4648184</v>
      </c>
      <c r="M14" s="38">
        <f t="shared" si="8"/>
        <v>0</v>
      </c>
      <c r="N14" s="38">
        <f t="shared" ca="1" si="8"/>
        <v>688938.28</v>
      </c>
      <c r="O14" s="38">
        <f t="shared" ca="1" si="1"/>
        <v>14.82166540739351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311400</v>
      </c>
      <c r="M16" s="38">
        <f t="shared" ca="1" si="10"/>
        <v>311400</v>
      </c>
      <c r="N16" s="38">
        <f t="shared" ca="1" si="10"/>
        <v>311400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4736305</v>
      </c>
      <c r="M18" s="23">
        <f t="shared" ca="1" si="11"/>
        <v>2650595</v>
      </c>
      <c r="N18" s="23">
        <f t="shared" ca="1" si="11"/>
        <v>2077535</v>
      </c>
      <c r="O18" s="22">
        <f t="shared" ref="O18:O20" ca="1" si="12">IF(L18&gt;0,N18*100/L18,0)</f>
        <v>43.864045917650998</v>
      </c>
      <c r="P18" s="22">
        <f t="shared" ref="P18:P26" ca="1" si="13">IF(M18&gt;0,N18*100/M18,0)</f>
        <v>78.379948653038284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4736305</v>
      </c>
      <c r="M20" s="30">
        <f t="shared" ca="1" si="15"/>
        <v>2650595</v>
      </c>
      <c r="N20" s="30">
        <f t="shared" ca="1" si="15"/>
        <v>2077535</v>
      </c>
      <c r="O20" s="29">
        <f t="shared" ca="1" si="12"/>
        <v>43.864045917650998</v>
      </c>
      <c r="P20" s="29">
        <f t="shared" ca="1" si="13"/>
        <v>78.379948653038284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4424905</v>
      </c>
      <c r="M22" s="41">
        <f t="shared" ca="1" si="18"/>
        <v>2339195</v>
      </c>
      <c r="N22" s="38">
        <f t="shared" ca="1" si="18"/>
        <v>1766135</v>
      </c>
      <c r="O22" s="38">
        <f t="shared" ca="1" si="17"/>
        <v>39.913512267495008</v>
      </c>
      <c r="P22" s="38">
        <f t="shared" ca="1" si="13"/>
        <v>75.501828620529707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2412000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2012905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311400</v>
      </c>
      <c r="M26" s="49">
        <f t="shared" ca="1" si="22"/>
        <v>311400</v>
      </c>
      <c r="N26" s="49">
        <f t="shared" ca="1" si="22"/>
        <v>311400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2635279</v>
      </c>
      <c r="M28" s="23">
        <f t="shared" si="23"/>
        <v>0</v>
      </c>
      <c r="N28" s="23">
        <f t="shared" ca="1" si="23"/>
        <v>688938.28</v>
      </c>
      <c r="O28" s="22">
        <f t="shared" ref="O28:O30" ca="1" si="24">IF(L28&gt;0,N28*100/L28,0)</f>
        <v>26.142897203673691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2635279</v>
      </c>
      <c r="M30" s="30">
        <f t="shared" si="27"/>
        <v>0</v>
      </c>
      <c r="N30" s="30">
        <f t="shared" ca="1" si="27"/>
        <v>688938.28</v>
      </c>
      <c r="O30" s="29">
        <f t="shared" ca="1" si="24"/>
        <v>26.142897203673691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2635279</v>
      </c>
      <c r="M32" s="38">
        <f t="shared" si="30"/>
        <v>0</v>
      </c>
      <c r="N32" s="38">
        <f t="shared" ca="1" si="30"/>
        <v>688938.28</v>
      </c>
      <c r="O32" s="38">
        <f t="shared" ca="1" si="29"/>
        <v>26.142897203673691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2635279</v>
      </c>
      <c r="M34" s="38">
        <f t="shared" si="32"/>
        <v>0</v>
      </c>
      <c r="N34" s="38">
        <f t="shared" ca="1" si="32"/>
        <v>688938.28</v>
      </c>
      <c r="O34" s="38">
        <f t="shared" ca="1" si="29"/>
        <v>26.142897203673691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4736305</v>
      </c>
      <c r="M37" s="54">
        <f t="shared" ca="1" si="33"/>
        <v>2650595</v>
      </c>
      <c r="N37" s="54">
        <f t="shared" ca="1" si="33"/>
        <v>2077535</v>
      </c>
      <c r="O37" s="55">
        <f t="shared" ca="1" si="29"/>
        <v>43.864045917650998</v>
      </c>
      <c r="P37" s="55">
        <f t="shared" ca="1" si="25"/>
        <v>78.379948653038284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885000</v>
      </c>
      <c r="M41" s="78">
        <f t="shared" ca="1" si="34"/>
        <v>530500</v>
      </c>
      <c r="N41" s="78">
        <f t="shared" ca="1" si="34"/>
        <v>502262</v>
      </c>
      <c r="O41" s="77">
        <f t="shared" ref="O41:O43" ca="1" si="35">IF(L41&gt;0,N41*100/L41,0)</f>
        <v>56.752768361581921</v>
      </c>
      <c r="P41" s="77">
        <f t="shared" ref="P41:P43" ca="1" si="36">IF(M41&gt;0,N41*100/M41,0)</f>
        <v>94.677097078228087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885000</v>
      </c>
      <c r="M43" s="78">
        <f t="shared" ca="1" si="38"/>
        <v>530500</v>
      </c>
      <c r="N43" s="78">
        <f t="shared" ca="1" si="38"/>
        <v>502262</v>
      </c>
      <c r="O43" s="77">
        <f t="shared" ca="1" si="35"/>
        <v>56.752768361581921</v>
      </c>
      <c r="P43" s="77">
        <f t="shared" ca="1" si="36"/>
        <v>94.677097078228087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709000</v>
      </c>
      <c r="M45" s="49">
        <f ca="1">IFERROR(__xludf.DUMMYFUNCTION("IMPORTRANGE(""https://docs.google.com/spreadsheets/d/1Yj_ptqi66GCucihVvJfMjLAmec39IyEx_6qawtMGysU/edit?usp=sharing"",""สบก!Q22"")"),354500)</f>
        <v>354500</v>
      </c>
      <c r="N45" s="49">
        <f ca="1">IFERROR(__xludf.DUMMYFUNCTION("IMPORTRANGE(""https://docs.google.com/spreadsheets/d/1Yj_ptqi66GCucihVvJfMjLAmec39IyEx_6qawtMGysU/edit?usp=sharing"",""สบก!R22"")"),326262)</f>
        <v>326262</v>
      </c>
      <c r="O45" s="38">
        <f ca="1">IF(L45&gt;0,N45*100/L45,0)</f>
        <v>46.017207334273628</v>
      </c>
      <c r="P45" s="38">
        <f ca="1">IF(M45&gt;0,N45*100/M45,0)</f>
        <v>92.034414668547257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IFERROR(__xludf.DUMMYFUNCTION("IMPORTRANGE(""https://docs.google.com/spreadsheets/d/1Yj_ptqi66GCucihVvJfMjLAmec39IyEx_6qawtMGysU/edit?usp=sharing"",""สบก!M22"")"),709000)</f>
        <v>709000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IFERROR(__xludf.DUMMYFUNCTION("IMPORTRANGE(""https://docs.google.com/spreadsheets/d/1Yj_ptqi66GCucihVvJfMjLAmec39IyEx_6qawtMGysU/edit?usp=sharing"",""สบก!N22"")"),0)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IFERROR(__xludf.DUMMYFUNCTION("IMPORTRANGE(""https://docs.google.com/spreadsheets/d/1Yj_ptqi66GCucihVvJfMjLAmec39IyEx_6qawtMGysU/edit?usp=sharing"",""สบก!O22"")"),176000)</f>
        <v>176000</v>
      </c>
      <c r="M49" s="49">
        <f ca="1">L49</f>
        <v>176000</v>
      </c>
      <c r="N49" s="49">
        <f ca="1">IFERROR(__xludf.DUMMYFUNCTION("IMPORTRANGE(""https://docs.google.com/spreadsheets/d/1Yj_ptqi66GCucihVvJfMjLAmec39IyEx_6qawtMGysU/edit?usp=sharing"",""สบก!S22"")"),176000)</f>
        <v>176000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900000</v>
      </c>
      <c r="M53" s="120">
        <f t="shared" ca="1" si="39"/>
        <v>454980</v>
      </c>
      <c r="N53" s="120">
        <f t="shared" ca="1" si="39"/>
        <v>377058</v>
      </c>
      <c r="O53" s="119">
        <f t="shared" ref="O53:O55" ca="1" si="40">IF(L53&gt;0,N53*100/L53,0)</f>
        <v>41.895333333333333</v>
      </c>
      <c r="P53" s="119">
        <f t="shared" ref="P53:P55" ca="1" si="41">IF(M53&gt;0,N53*100/M53,0)</f>
        <v>82.873532902545165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900000</v>
      </c>
      <c r="M55" s="120">
        <f t="shared" ca="1" si="43"/>
        <v>454980</v>
      </c>
      <c r="N55" s="120">
        <f t="shared" ca="1" si="43"/>
        <v>377058</v>
      </c>
      <c r="O55" s="119">
        <f t="shared" ca="1" si="40"/>
        <v>41.895333333333333</v>
      </c>
      <c r="P55" s="119">
        <f t="shared" ca="1" si="41"/>
        <v>82.873532902545165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900000</v>
      </c>
      <c r="M57" s="49">
        <f ca="1">IFERROR(__xludf.DUMMYFUNCTION("IMPORTRANGE(""https://docs.google.com/spreadsheets/d/1Yj_ptqi66GCucihVvJfMjLAmec39IyEx_6qawtMGysU/edit?usp=sharing"",""สบก!Z22"")"),454980)</f>
        <v>454980</v>
      </c>
      <c r="N57" s="49">
        <f ca="1">IFERROR(__xludf.DUMMYFUNCTION("IMPORTRANGE(""https://docs.google.com/spreadsheets/d/1Yj_ptqi66GCucihVvJfMjLAmec39IyEx_6qawtMGysU/edit?usp=sharing"",""สบก!AA22"")"),377058)</f>
        <v>377058</v>
      </c>
      <c r="O57" s="38">
        <f ca="1">IF(L57&gt;0,N57*100/L57,0)</f>
        <v>41.895333333333333</v>
      </c>
      <c r="P57" s="38">
        <f ca="1">IF(M57&gt;0,N57*100/M57,0)</f>
        <v>82.873532902545165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IFERROR(__xludf.DUMMYFUNCTION("IMPORTRANGE(""https://docs.google.com/spreadsheets/d/1Yj_ptqi66GCucihVvJfMjLAmec39IyEx_6qawtMGysU/edit?usp=sharing"",""สบก!V22"")"),900000)</f>
        <v>900000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IFERROR(__xludf.DUMMYFUNCTION("IMPORTRANGE(""https://docs.google.com/spreadsheets/d/1Yj_ptqi66GCucihVvJfMjLAmec39IyEx_6qawtMGysU/edit?usp=sharing"",""สบก!W22"")"),0)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IFERROR(__xludf.DUMMYFUNCTION("IMPORTRANGE(""https://docs.google.com/spreadsheets/d/1Yj_ptqi66GCucihVvJfMjLAmec39IyEx_6qawtMGysU/edit?usp=sharing"",""สบก!X22"")"),0)</f>
        <v>0</v>
      </c>
      <c r="M61" s="49"/>
      <c r="N61" s="49">
        <f ca="1">IFERROR(__xludf.DUMMYFUNCTION("IMPORTRANGE(""https://docs.google.com/spreadsheets/d/1Yj_ptqi66GCucihVvJfMjLAmec39IyEx_6qawtMGysU/edit?usp=sharing"",""สบก!AB22"")"),0)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IFERROR(__xludf.DUMMYFUNCTION("IMPORTRANGE(""https://docs.google.com/spreadsheets/d/11923uPwbBZFjjGgGUA6NLw09EwE0CqkOc4q9oUmW1yo/edit?usp=sharing"",""เชียงใหม่!I9"")"),1)</f>
        <v>1</v>
      </c>
      <c r="J64" s="141">
        <f ca="1">IFERROR(__xludf.DUMMYFUNCTION("IMPORTRANGE(""https://docs.google.com/spreadsheets/d/11923uPwbBZFjjGgGUA6NLw09EwE0CqkOc4q9oUmW1yo/edit?usp=sharing"",""เชียงใหม่!J9"")"),1)</f>
        <v>1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IFERROR(__xludf.DUMMYFUNCTION("IMPORTRANGE(""https://docs.google.com/spreadsheets/d/11923uPwbBZFjjGgGUA6NLw09EwE0CqkOc4q9oUmW1yo/edit?usp=sharing"",""เชียงใหม่!I10"")"),50)</f>
        <v>50</v>
      </c>
      <c r="J65" s="141">
        <f ca="1">IFERROR(__xludf.DUMMYFUNCTION("IMPORTRANGE(""https://docs.google.com/spreadsheets/d/11923uPwbBZFjjGgGUA6NLw09EwE0CqkOc4q9oUmW1yo/edit?usp=sharing"",""เชียงใหม่!J10"")"),50)</f>
        <v>50</v>
      </c>
      <c r="K65" s="142">
        <f t="shared" ca="1" si="44"/>
        <v>100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486000</v>
      </c>
      <c r="M66" s="151">
        <f t="shared" ca="1" si="45"/>
        <v>279620</v>
      </c>
      <c r="N66" s="151">
        <f t="shared" ca="1" si="45"/>
        <v>230513</v>
      </c>
      <c r="O66" s="150">
        <f t="shared" ref="O66:O68" ca="1" si="46">IF(L66&gt;0,N66*100/L66,0)</f>
        <v>47.430658436213989</v>
      </c>
      <c r="P66" s="150">
        <f t="shared" ref="P66:P68" ca="1" si="47">IF(M66&gt;0,N66*100/M66,0)</f>
        <v>82.437951505614762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486000</v>
      </c>
      <c r="M68" s="87">
        <f t="shared" ca="1" si="49"/>
        <v>279620</v>
      </c>
      <c r="N68" s="87">
        <f t="shared" ca="1" si="49"/>
        <v>230513</v>
      </c>
      <c r="O68" s="155">
        <f t="shared" ca="1" si="46"/>
        <v>47.430658436213989</v>
      </c>
      <c r="P68" s="155">
        <f t="shared" ca="1" si="47"/>
        <v>82.437951505614762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486000</v>
      </c>
      <c r="M70" s="167">
        <f ca="1">IFERROR(__xludf.DUMMYFUNCTION("IMPORTRANGE(""https://docs.google.com/spreadsheets/d/1Yj_ptqi66GCucihVvJfMjLAmec39IyEx_6qawtMGysU/edit?usp=sharing"",""สบก!AI22"")"),279620)</f>
        <v>279620</v>
      </c>
      <c r="N70" s="168">
        <f ca="1">IFERROR(__xludf.DUMMYFUNCTION("IMPORTRANGE(""https://docs.google.com/spreadsheets/d/1Yj_ptqi66GCucihVvJfMjLAmec39IyEx_6qawtMGysU/edit?usp=sharing"",""สบก!AJ22"")"),230513)</f>
        <v>230513</v>
      </c>
      <c r="O70" s="168">
        <f ca="1">IF(L70&gt;0,N70*100/L70,0)</f>
        <v>47.430658436213989</v>
      </c>
      <c r="P70" s="168">
        <f ca="1">IF(M70&gt;0,N70*100/M70,0)</f>
        <v>82.437951505614762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IFERROR(__xludf.DUMMYFUNCTION("IMPORTRANGE(""https://docs.google.com/spreadsheets/d/1Yj_ptqi66GCucihVvJfMjLAmec39IyEx_6qawtMGysU/edit?usp=sharing"",""สบก!AE22"")"),0)</f>
        <v>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IFERROR(__xludf.DUMMYFUNCTION("IMPORTRANGE(""https://docs.google.com/spreadsheets/d/1Yj_ptqi66GCucihVvJfMjLAmec39IyEx_6qawtMGysU/edit?usp=sharing"",""สบก!AF22"")"),486000)</f>
        <v>486000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IFERROR(__xludf.DUMMYFUNCTION("IMPORTRANGE(""https://docs.google.com/spreadsheets/d/1Yj_ptqi66GCucihVvJfMjLAmec39IyEx_6qawtMGysU/edit?usp=sharing"",""สบก!AG22"")"),0)</f>
        <v>0</v>
      </c>
      <c r="M74" s="49"/>
      <c r="N74" s="49">
        <f ca="1">IFERROR(__xludf.DUMMYFUNCTION("IMPORTRANGE(""https://docs.google.com/spreadsheets/d/1Yj_ptqi66GCucihVvJfMjLAmec39IyEx_6qawtMGysU/edit?usp=sharing"",""สบก!AK22"")"),0)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IFERROR(__xludf.DUMMYFUNCTION("IMPORTRANGE(""https://docs.google.com/spreadsheets/d/11923uPwbBZFjjGgGUA6NLw09EwE0CqkOc4q9oUmW1yo/edit?usp=sharing"",""เชียงใหม่!J16"")"),0)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IFERROR(__xludf.DUMMYFUNCTION("IMPORTRANGE(""https://docs.google.com/spreadsheets/d/11923uPwbBZFjjGgGUA6NLw09EwE0CqkOc4q9oUmW1yo/edit?usp=sharing"",""เชียงใหม่!J17"")"),1)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IFERROR(__xludf.DUMMYFUNCTION("IMPORTRANGE(""https://docs.google.com/spreadsheets/d/11923uPwbBZFjjGgGUA6NLw09EwE0CqkOc4q9oUmW1yo/edit?usp=sharing"",""เชียงใหม่!J18"")"),1)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IFERROR(__xludf.DUMMYFUNCTION("IMPORTRANGE(""https://docs.google.com/spreadsheets/d/11923uPwbBZFjjGgGUA6NLw09EwE0CqkOc4q9oUmW1yo/edit?usp=sharing"",""เชียงใหม่!J19"")"),1)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IFERROR(__xludf.DUMMYFUNCTION("IMPORTRANGE(""https://docs.google.com/spreadsheets/d/11923uPwbBZFjjGgGUA6NLw09EwE0CqkOc4q9oUmW1yo/edit?usp=sharing"",""เชียงใหม่!I20"")"),1)</f>
        <v>1</v>
      </c>
      <c r="J80" s="200">
        <f ca="1">IFERROR(__xludf.DUMMYFUNCTION("IMPORTRANGE(""https://docs.google.com/spreadsheets/d/11923uPwbBZFjjGgGUA6NLw09EwE0CqkOc4q9oUmW1yo/edit?usp=sharing"",""เชียงใหม่!J20"")"),1)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IFERROR(__xludf.DUMMYFUNCTION("IMPORTRANGE(""https://docs.google.com/spreadsheets/d/11923uPwbBZFjjGgGUA6NLw09EwE0CqkOc4q9oUmW1yo/edit?usp=sharing"",""เชียงใหม่!I21"")"),50)</f>
        <v>50</v>
      </c>
      <c r="J81" s="200">
        <f ca="1">IFERROR(__xludf.DUMMYFUNCTION("IMPORTRANGE(""https://docs.google.com/spreadsheets/d/11923uPwbBZFjjGgGUA6NLw09EwE0CqkOc4q9oUmW1yo/edit?usp=sharing"",""เชียงใหม่!J21"")"),50)</f>
        <v>50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IFERROR(__xludf.DUMMYFUNCTION("IMPORTRANGE(""https://docs.google.com/spreadsheets/d/11923uPwbBZFjjGgGUA6NLw09EwE0CqkOc4q9oUmW1yo/edit?usp=sharing"",""เชียงใหม่!I22"")"),0)</f>
        <v>0</v>
      </c>
      <c r="J82" s="203">
        <f ca="1">IFERROR(__xludf.DUMMYFUNCTION("IMPORTRANGE(""https://docs.google.com/spreadsheets/d/11923uPwbBZFjjGgGUA6NLw09EwE0CqkOc4q9oUmW1yo/edit?usp=sharing"",""เชียงใหม่!J22"")"),0)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IFERROR(__xludf.DUMMYFUNCTION("IMPORTRANGE(""https://docs.google.com/spreadsheets/d/11923uPwbBZFjjGgGUA6NLw09EwE0CqkOc4q9oUmW1yo/edit?usp=sharing"",""เชียงใหม่!I23"")"),0)</f>
        <v>0</v>
      </c>
      <c r="J83" s="203">
        <f ca="1">IFERROR(__xludf.DUMMYFUNCTION("IMPORTRANGE(""https://docs.google.com/spreadsheets/d/11923uPwbBZFjjGgGUA6NLw09EwE0CqkOc4q9oUmW1yo/edit?usp=sharing"",""เชียงใหม่!J23"")"),0)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IFERROR(__xludf.DUMMYFUNCTION("IMPORTRANGE(""https://docs.google.com/spreadsheets/d/11923uPwbBZFjjGgGUA6NLw09EwE0CqkOc4q9oUmW1yo/edit?usp=sharing"",""เชียงใหม่!I24"")"),0)</f>
        <v>0</v>
      </c>
      <c r="J84" s="188">
        <f ca="1">IFERROR(__xludf.DUMMYFUNCTION("IMPORTRANGE(""https://docs.google.com/spreadsheets/d/11923uPwbBZFjjGgGUA6NLw09EwE0CqkOc4q9oUmW1yo/edit?usp=sharing"",""เชียงใหม่!J24"")"),0)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IFERROR(__xludf.DUMMYFUNCTION("IMPORTRANGE(""https://docs.google.com/spreadsheets/d/11923uPwbBZFjjGgGUA6NLw09EwE0CqkOc4q9oUmW1yo/edit?usp=sharing"",""เชียงใหม่!I25"")"),0)</f>
        <v>0</v>
      </c>
      <c r="J85" s="188">
        <f ca="1">IFERROR(__xludf.DUMMYFUNCTION("IMPORTRANGE(""https://docs.google.com/spreadsheets/d/11923uPwbBZFjjGgGUA6NLw09EwE0CqkOc4q9oUmW1yo/edit?usp=sharing"",""เชียงใหม่!J25"")"),0)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IFERROR(__xludf.DUMMYFUNCTION("IMPORTRANGE(""https://docs.google.com/spreadsheets/d/11923uPwbBZFjjGgGUA6NLw09EwE0CqkOc4q9oUmW1yo/edit?usp=sharing"",""เชียงใหม่!I26"")"),1)</f>
        <v>1</v>
      </c>
      <c r="J86" s="203">
        <f ca="1">IFERROR(__xludf.DUMMYFUNCTION("IMPORTRANGE(""https://docs.google.com/spreadsheets/d/11923uPwbBZFjjGgGUA6NLw09EwE0CqkOc4q9oUmW1yo/edit?usp=sharing"",""เชียงใหม่!J26"")"),1)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IFERROR(__xludf.DUMMYFUNCTION("IMPORTRANGE(""https://docs.google.com/spreadsheets/d/11923uPwbBZFjjGgGUA6NLw09EwE0CqkOc4q9oUmW1yo/edit?usp=sharing"",""เชียงใหม่!I27"")"),50)</f>
        <v>50</v>
      </c>
      <c r="J87" s="203">
        <f ca="1">IFERROR(__xludf.DUMMYFUNCTION("IMPORTRANGE(""https://docs.google.com/spreadsheets/d/11923uPwbBZFjjGgGUA6NLw09EwE0CqkOc4q9oUmW1yo/edit?usp=sharing"",""เชียงใหม่!J27"")"),50)</f>
        <v>50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IFERROR(__xludf.DUMMYFUNCTION("IMPORTRANGE(""https://docs.google.com/spreadsheets/d/11923uPwbBZFjjGgGUA6NLw09EwE0CqkOc4q9oUmW1yo/edit?usp=sharing"",""เชียงใหม่!I28"")"),0)</f>
        <v>0</v>
      </c>
      <c r="J88" s="203">
        <f ca="1">IFERROR(__xludf.DUMMYFUNCTION("IMPORTRANGE(""https://docs.google.com/spreadsheets/d/11923uPwbBZFjjGgGUA6NLw09EwE0CqkOc4q9oUmW1yo/edit?usp=sharing"",""เชียงใหม่!J28"")"),0)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IFERROR(__xludf.DUMMYFUNCTION("IMPORTRANGE(""https://docs.google.com/spreadsheets/d/11923uPwbBZFjjGgGUA6NLw09EwE0CqkOc4q9oUmW1yo/edit?usp=sharing"",""เชียงใหม่!J29"")"),0)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IFERROR(__xludf.DUMMYFUNCTION("IMPORTRANGE(""https://docs.google.com/spreadsheets/d/11923uPwbBZFjjGgGUA6NLw09EwE0CqkOc4q9oUmW1yo/edit?usp=sharing"",""เชียงใหม่!J30"")"),0)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IFERROR(__xludf.DUMMYFUNCTION("IMPORTRANGE(""https://docs.google.com/spreadsheets/d/11923uPwbBZFjjGgGUA6NLw09EwE0CqkOc4q9oUmW1yo/edit?usp=sharing"",""เชียงใหม่!I32"")"),4)</f>
        <v>4</v>
      </c>
      <c r="J92" s="141">
        <f ca="1">IFERROR(__xludf.DUMMYFUNCTION("IMPORTRANGE(""https://docs.google.com/spreadsheets/d/11923uPwbBZFjjGgGUA6NLw09EwE0CqkOc4q9oUmW1yo/edit?usp=sharing"",""เชียงใหม่!J32"")"),4)</f>
        <v>4</v>
      </c>
      <c r="K92" s="142">
        <f t="shared" ref="K92:K93" ca="1" si="51">IF(I92&gt;0,J92*100/I92,0)</f>
        <v>100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IFERROR(__xludf.DUMMYFUNCTION("IMPORTRANGE(""https://docs.google.com/spreadsheets/d/11923uPwbBZFjjGgGUA6NLw09EwE0CqkOc4q9oUmW1yo/edit?usp=sharing"",""เชียงใหม่!I33"")"),1)</f>
        <v>1</v>
      </c>
      <c r="J93" s="141">
        <f ca="1">IFERROR(__xludf.DUMMYFUNCTION("IMPORTRANGE(""https://docs.google.com/spreadsheets/d/11923uPwbBZFjjGgGUA6NLw09EwE0CqkOc4q9oUmW1yo/edit?usp=sharing"",""เชียงใหม่!J33"")"),0)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214500</v>
      </c>
      <c r="M94" s="151">
        <f t="shared" ca="1" si="52"/>
        <v>161130</v>
      </c>
      <c r="N94" s="151">
        <f t="shared" ca="1" si="52"/>
        <v>119220</v>
      </c>
      <c r="O94" s="150">
        <f t="shared" ref="O94:O96" ca="1" si="53">IF(L94&gt;0,N94*100/L94,0)</f>
        <v>55.58041958041958</v>
      </c>
      <c r="P94" s="150">
        <f t="shared" ref="P94:P96" ca="1" si="54">IF(M94&gt;0,N94*100/M94,0)</f>
        <v>73.989946006330285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214500</v>
      </c>
      <c r="M96" s="87">
        <f t="shared" ca="1" si="56"/>
        <v>161130</v>
      </c>
      <c r="N96" s="87">
        <f t="shared" ca="1" si="56"/>
        <v>119220</v>
      </c>
      <c r="O96" s="155">
        <f t="shared" ca="1" si="53"/>
        <v>55.58041958041958</v>
      </c>
      <c r="P96" s="155">
        <f t="shared" ca="1" si="54"/>
        <v>73.989946006330285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IFERROR(__xludf.DUMMYFUNCTION("IMPORTRANGE(""https://docs.google.com/spreadsheets/d/1Yj_ptqi66GCucihVvJfMjLAmec39IyEx_6qawtMGysU/edit?usp=sharing"",""สบก!AR22"")"),68730)</f>
        <v>68730</v>
      </c>
      <c r="N98" s="168">
        <f ca="1">IFERROR(__xludf.DUMMYFUNCTION("IMPORTRANGE(""https://docs.google.com/spreadsheets/d/1Yj_ptqi66GCucihVvJfMjLAmec39IyEx_6qawtMGysU/edit?usp=sharing"",""สบก!AS22"")"),26820)</f>
        <v>26820</v>
      </c>
      <c r="O98" s="168">
        <f ca="1">IF(L98&gt;0,N98*100/L98,0)</f>
        <v>21.965601965601966</v>
      </c>
      <c r="P98" s="168">
        <f ca="1">IF(M98&gt;0,N98*100/M98,0)</f>
        <v>39.02226102138804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IFERROR(__xludf.DUMMYFUNCTION("IMPORTRANGE(""https://docs.google.com/spreadsheets/d/1Yj_ptqi66GCucihVvJfMjLAmec39IyEx_6qawtMGysU/edit?usp=sharing"",""สบก!AN22"")"),0)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IFERROR(__xludf.DUMMYFUNCTION("IMPORTRANGE(""https://docs.google.com/spreadsheets/d/1Yj_ptqi66GCucihVvJfMjLAmec39IyEx_6qawtMGysU/edit?usp=sharing"",""สบก!AO22"")"),122100)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IFERROR(__xludf.DUMMYFUNCTION("IMPORTRANGE(""https://docs.google.com/spreadsheets/d/1Yj_ptqi66GCucihVvJfMjLAmec39IyEx_6qawtMGysU/edit?usp=sharing"",""สบก!AP22"")"),92400)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IFERROR(__xludf.DUMMYFUNCTION("IMPORTRANGE(""https://docs.google.com/spreadsheets/d/1Yj_ptqi66GCucihVvJfMjLAmec39IyEx_6qawtMGysU/edit?usp=sharing"",""สบก!AT22"")"),92400)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IFERROR(__xludf.DUMMYFUNCTION("IMPORTRANGE(""https://docs.google.com/spreadsheets/d/11923uPwbBZFjjGgGUA6NLw09EwE0CqkOc4q9oUmW1yo/edit?usp=sharing"",""เชียงใหม่!J39"")"),0)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IFERROR(__xludf.DUMMYFUNCTION("IMPORTRANGE(""https://docs.google.com/spreadsheets/d/11923uPwbBZFjjGgGUA6NLw09EwE0CqkOc4q9oUmW1yo/edit?usp=sharing"",""เชียงใหม่!J40"")"),1)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IFERROR(__xludf.DUMMYFUNCTION("IMPORTRANGE(""https://docs.google.com/spreadsheets/d/11923uPwbBZFjjGgGUA6NLw09EwE0CqkOc4q9oUmW1yo/edit?usp=sharing"",""เชียงใหม่!J41"")"),1)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IFERROR(__xludf.DUMMYFUNCTION("IMPORTRANGE(""https://docs.google.com/spreadsheets/d/11923uPwbBZFjjGgGUA6NLw09EwE0CqkOc4q9oUmW1yo/edit?usp=sharing"",""เชียงใหม่!J42"")"),1)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IFERROR(__xludf.DUMMYFUNCTION("IMPORTRANGE(""https://docs.google.com/spreadsheets/d/11923uPwbBZFjjGgGUA6NLw09EwE0CqkOc4q9oUmW1yo/edit?usp=sharing"",""เชียงใหม่!I43"")"),1)</f>
        <v>1</v>
      </c>
      <c r="J108" s="203">
        <f ca="1">IFERROR(__xludf.DUMMYFUNCTION("IMPORTRANGE(""https://docs.google.com/spreadsheets/d/11923uPwbBZFjjGgGUA6NLw09EwE0CqkOc4q9oUmW1yo/edit?usp=sharing"",""เชียงใหม่!J43"")"),1)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IFERROR(__xludf.DUMMYFUNCTION("IMPORTRANGE(""https://docs.google.com/spreadsheets/d/11923uPwbBZFjjGgGUA6NLw09EwE0CqkOc4q9oUmW1yo/edit?usp=sharing"",""เชียงใหม่!I44"")"),4)</f>
        <v>4</v>
      </c>
      <c r="J109" s="203">
        <f ca="1">IFERROR(__xludf.DUMMYFUNCTION("IMPORTRANGE(""https://docs.google.com/spreadsheets/d/11923uPwbBZFjjGgGUA6NLw09EwE0CqkOc4q9oUmW1yo/edit?usp=sharing"",""เชียงใหม่!J44"")"),4)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IFERROR(__xludf.DUMMYFUNCTION("IMPORTRANGE(""https://docs.google.com/spreadsheets/d/11923uPwbBZFjjGgGUA6NLw09EwE0CqkOc4q9oUmW1yo/edit?usp=sharing"",""เชียงใหม่!I45"")"),4)</f>
        <v>4</v>
      </c>
      <c r="J110" s="203">
        <f ca="1">IFERROR(__xludf.DUMMYFUNCTION("IMPORTRANGE(""https://docs.google.com/spreadsheets/d/11923uPwbBZFjjGgGUA6NLw09EwE0CqkOc4q9oUmW1yo/edit?usp=sharing"",""เชียงใหม่!J45"")"),4)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IFERROR(__xludf.DUMMYFUNCTION("IMPORTRANGE(""https://docs.google.com/spreadsheets/d/11923uPwbBZFjjGgGUA6NLw09EwE0CqkOc4q9oUmW1yo/edit?usp=sharing"",""เชียงใหม่!I46"")"),4)</f>
        <v>4</v>
      </c>
      <c r="J111" s="203">
        <f ca="1">IFERROR(__xludf.DUMMYFUNCTION("IMPORTRANGE(""https://docs.google.com/spreadsheets/d/11923uPwbBZFjjGgGUA6NLw09EwE0CqkOc4q9oUmW1yo/edit?usp=sharing"",""เชียงใหม่!J46"")"),4)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IFERROR(__xludf.DUMMYFUNCTION("IMPORTRANGE(""https://docs.google.com/spreadsheets/d/11923uPwbBZFjjGgGUA6NLw09EwE0CqkOc4q9oUmW1yo/edit?usp=sharing"",""เชียงใหม่!I47"")"),4)</f>
        <v>4</v>
      </c>
      <c r="J112" s="203">
        <f ca="1">IFERROR(__xludf.DUMMYFUNCTION("IMPORTRANGE(""https://docs.google.com/spreadsheets/d/11923uPwbBZFjjGgGUA6NLw09EwE0CqkOc4q9oUmW1yo/edit?usp=sharing"",""เชียงใหม่!J47"")"),0)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IFERROR(__xludf.DUMMYFUNCTION("IMPORTRANGE(""https://docs.google.com/spreadsheets/d/11923uPwbBZFjjGgGUA6NLw09EwE0CqkOc4q9oUmW1yo/edit?usp=sharing"",""เชียงใหม่!I48"")"),1)</f>
        <v>1</v>
      </c>
      <c r="J113" s="203">
        <f ca="1">IFERROR(__xludf.DUMMYFUNCTION("IMPORTRANGE(""https://docs.google.com/spreadsheets/d/11923uPwbBZFjjGgGUA6NLw09EwE0CqkOc4q9oUmW1yo/edit?usp=sharing"",""เชียงใหม่!J48"")"),0)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IFERROR(__xludf.DUMMYFUNCTION("IMPORTRANGE(""https://docs.google.com/spreadsheets/d/11923uPwbBZFjjGgGUA6NLw09EwE0CqkOc4q9oUmW1yo/edit?usp=sharing"",""เชียงใหม่!J49"")"),0)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IFERROR(__xludf.DUMMYFUNCTION("IMPORTRANGE(""https://docs.google.com/spreadsheets/d/11923uPwbBZFjjGgGUA6NLw09EwE0CqkOc4q9oUmW1yo/edit?usp=sharing"",""เชียงใหม่!J50"")"),0)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IFERROR(__xludf.DUMMYFUNCTION("IMPORTRANGE(""https://docs.google.com/spreadsheets/d/11923uPwbBZFjjGgGUA6NLw09EwE0CqkOc4q9oUmW1yo/edit?usp=sharing"",""เชียงใหม่!I52"")"),0)</f>
        <v>0</v>
      </c>
      <c r="J117" s="141">
        <f ca="1">IFERROR(__xludf.DUMMYFUNCTION("IMPORTRANGE(""https://docs.google.com/spreadsheets/d/11923uPwbBZFjjGgGUA6NLw09EwE0CqkOc4q9oUmW1yo/edit?usp=sharing"",""เชียงใหม่!J52"")"),0)</f>
        <v>0</v>
      </c>
      <c r="K117" s="142">
        <f ca="1">IF(I117&gt;0,J117*100/I117,0)</f>
        <v>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0</v>
      </c>
      <c r="M118" s="151">
        <f t="shared" ca="1" si="58"/>
        <v>0</v>
      </c>
      <c r="N118" s="151">
        <f t="shared" ca="1" si="58"/>
        <v>0</v>
      </c>
      <c r="O118" s="150">
        <f t="shared" ref="O118:O120" ca="1" si="59">IF(L118&gt;0,N118*100/L118,0)</f>
        <v>0</v>
      </c>
      <c r="P118" s="150">
        <f t="shared" ref="P118:P120" ca="1" si="60">IF(M118&gt;0,N118*100/M118,0)</f>
        <v>0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0</v>
      </c>
      <c r="M120" s="87">
        <f t="shared" ca="1" si="62"/>
        <v>0</v>
      </c>
      <c r="N120" s="87">
        <f t="shared" ca="1" si="62"/>
        <v>0</v>
      </c>
      <c r="O120" s="155">
        <f t="shared" ca="1" si="59"/>
        <v>0</v>
      </c>
      <c r="P120" s="155">
        <f t="shared" ca="1" si="60"/>
        <v>0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IFERROR(__xludf.DUMMYFUNCTION("IMPORTRANGE(""https://docs.google.com/spreadsheets/d/1Yj_ptqi66GCucihVvJfMjLAmec39IyEx_6qawtMGysU/edit?usp=sharing"",""สบก!BA22"")"),0)</f>
        <v>0</v>
      </c>
      <c r="N122" s="168">
        <f ca="1">IFERROR(__xludf.DUMMYFUNCTION("IMPORTRANGE(""https://docs.google.com/spreadsheets/d/1Yj_ptqi66GCucihVvJfMjLAmec39IyEx_6qawtMGysU/edit?usp=sharing"",""สบก!BB22"")"),0)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IFERROR(__xludf.DUMMYFUNCTION("IMPORTRANGE(""https://docs.google.com/spreadsheets/d/1Yj_ptqi66GCucihVvJfMjLAmec39IyEx_6qawtMGysU/edit?usp=sharing"",""สบก!AW22"")"),0)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IFERROR(__xludf.DUMMYFUNCTION("IMPORTRANGE(""https://docs.google.com/spreadsheets/d/1Yj_ptqi66GCucihVvJfMjLAmec39IyEx_6qawtMGysU/edit?usp=sharing"",""สบก!AX22"")"),0)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IFERROR(__xludf.DUMMYFUNCTION("IMPORTRANGE(""https://docs.google.com/spreadsheets/d/1Yj_ptqi66GCucihVvJfMjLAmec39IyEx_6qawtMGysU/edit?usp=sharing"",""สบก!AY22"")"),0)</f>
        <v>0</v>
      </c>
      <c r="M126" s="49"/>
      <c r="N126" s="49">
        <f ca="1">IFERROR(__xludf.DUMMYFUNCTION("IMPORTRANGE(""https://docs.google.com/spreadsheets/d/1Yj_ptqi66GCucihVvJfMjLAmec39IyEx_6qawtMGysU/edit?usp=sharing"",""สบก!BC22"")"),0)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243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IFERROR(__xludf.DUMMYFUNCTION("IMPORTRANGE(""https://docs.google.com/spreadsheets/d/11923uPwbBZFjjGgGUA6NLw09EwE0CqkOc4q9oUmW1yo/edit?usp=sharing"",""เชียงใหม่!J58"")"),0)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IFERROR(__xludf.DUMMYFUNCTION("IMPORTRANGE(""https://docs.google.com/spreadsheets/d/11923uPwbBZFjjGgGUA6NLw09EwE0CqkOc4q9oUmW1yo/edit?usp=sharing"",""เชียงใหม่!J59"")"),0)</f>
        <v>0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IFERROR(__xludf.DUMMYFUNCTION("IMPORTRANGE(""https://docs.google.com/spreadsheets/d/11923uPwbBZFjjGgGUA6NLw09EwE0CqkOc4q9oUmW1yo/edit?usp=sharing"",""เชียงใหม่!J60"")"),0)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IFERROR(__xludf.DUMMYFUNCTION("IMPORTRANGE(""https://docs.google.com/spreadsheets/d/11923uPwbBZFjjGgGUA6NLw09EwE0CqkOc4q9oUmW1yo/edit?usp=sharing"",""เชียงใหม่!J61"")"),0)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IFERROR(__xludf.DUMMYFUNCTION("IMPORTRANGE(""https://docs.google.com/spreadsheets/d/11923uPwbBZFjjGgGUA6NLw09EwE0CqkOc4q9oUmW1yo/edit?usp=sharing"",""เชียงใหม่!I62"")"),0)</f>
        <v>0</v>
      </c>
      <c r="J132" s="203">
        <f ca="1">IFERROR(__xludf.DUMMYFUNCTION("IMPORTRANGE(""https://docs.google.com/spreadsheets/d/11923uPwbBZFjjGgGUA6NLw09EwE0CqkOc4q9oUmW1yo/edit?usp=sharing"",""เชียงใหม่!J62"")"),0)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IFERROR(__xludf.DUMMYFUNCTION("IMPORTRANGE(""https://docs.google.com/spreadsheets/d/11923uPwbBZFjjGgGUA6NLw09EwE0CqkOc4q9oUmW1yo/edit?usp=sharing"",""เชียงใหม่!I63"")"),0)</f>
        <v>0</v>
      </c>
      <c r="J133" s="203">
        <f ca="1">IFERROR(__xludf.DUMMYFUNCTION("IMPORTRANGE(""https://docs.google.com/spreadsheets/d/11923uPwbBZFjjGgGUA6NLw09EwE0CqkOc4q9oUmW1yo/edit?usp=sharing"",""เชียงใหม่!J63"")"),0)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IFERROR(__xludf.DUMMYFUNCTION("IMPORTRANGE(""https://docs.google.com/spreadsheets/d/11923uPwbBZFjjGgGUA6NLw09EwE0CqkOc4q9oUmW1yo/edit?usp=sharing"",""เชียงใหม่!J64"")"),0)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IFERROR(__xludf.DUMMYFUNCTION("IMPORTRANGE(""https://docs.google.com/spreadsheets/d/11923uPwbBZFjjGgGUA6NLw09EwE0CqkOc4q9oUmW1yo/edit?usp=sharing"",""เชียงใหม่!J65"")"),0)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IFERROR(__xludf.DUMMYFUNCTION("IMPORTRANGE(""https://docs.google.com/spreadsheets/d/11923uPwbBZFjjGgGUA6NLw09EwE0CqkOc4q9oUmW1yo/edit?usp=sharing"",""เชียงใหม่!I68"")"),100)</f>
        <v>100</v>
      </c>
      <c r="J138" s="266">
        <f ca="1">IFERROR(__xludf.DUMMYFUNCTION("IMPORTRANGE(""https://docs.google.com/spreadsheets/d/11923uPwbBZFjjGgGUA6NLw09EwE0CqkOc4q9oUmW1yo/edit?usp=sharing"",""เชียงใหม่!J68"")"),100)</f>
        <v>100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891700</v>
      </c>
      <c r="M140" s="151">
        <f t="shared" ca="1" si="64"/>
        <v>463150</v>
      </c>
      <c r="N140" s="151">
        <f t="shared" ca="1" si="64"/>
        <v>336144</v>
      </c>
      <c r="O140" s="150">
        <f t="shared" ref="O140:O142" ca="1" si="65">IF(L140&gt;0,N140*100/L140,0)</f>
        <v>37.696983290344285</v>
      </c>
      <c r="P140" s="150">
        <f t="shared" ref="P140:P142" ca="1" si="66">IF(M140&gt;0,N140*100/M140,0)</f>
        <v>72.577782575839365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891700</v>
      </c>
      <c r="M142" s="87">
        <f t="shared" ca="1" si="68"/>
        <v>463150</v>
      </c>
      <c r="N142" s="87">
        <f t="shared" ca="1" si="68"/>
        <v>336144</v>
      </c>
      <c r="O142" s="155">
        <f t="shared" ca="1" si="65"/>
        <v>37.696983290344285</v>
      </c>
      <c r="P142" s="155">
        <f t="shared" ca="1" si="66"/>
        <v>72.577782575839365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891700</v>
      </c>
      <c r="M144" s="167">
        <f ca="1">IFERROR(__xludf.DUMMYFUNCTION("IMPORTRANGE(""https://docs.google.com/spreadsheets/d/1Yj_ptqi66GCucihVvJfMjLAmec39IyEx_6qawtMGysU/edit?usp=sharing"",""สบก!BJ22"")"),463150)</f>
        <v>463150</v>
      </c>
      <c r="N144" s="168">
        <f ca="1">IFERROR(__xludf.DUMMYFUNCTION("IMPORTRANGE(""https://docs.google.com/spreadsheets/d/1Yj_ptqi66GCucihVvJfMjLAmec39IyEx_6qawtMGysU/edit?usp=sharing"",""สบก!BK22"")"),336144)</f>
        <v>336144</v>
      </c>
      <c r="O144" s="168">
        <f ca="1">IF(L144&gt;0,N144*100/L144,0)</f>
        <v>37.696983290344285</v>
      </c>
      <c r="P144" s="168">
        <f ca="1">IF(M144&gt;0,N144*100/M144,0)</f>
        <v>72.577782575839365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IFERROR(__xludf.DUMMYFUNCTION("IMPORTRANGE(""https://docs.google.com/spreadsheets/d/1Yj_ptqi66GCucihVvJfMjLAmec39IyEx_6qawtMGysU/edit?usp=sharing"",""สบก!BF22"")"),331400)</f>
        <v>331400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IFERROR(__xludf.DUMMYFUNCTION("IMPORTRANGE(""https://docs.google.com/spreadsheets/d/1Yj_ptqi66GCucihVvJfMjLAmec39IyEx_6qawtMGysU/edit?usp=sharing"",""สบก!BG22"")"),560300)</f>
        <v>560300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IFERROR(__xludf.DUMMYFUNCTION("IMPORTRANGE(""https://docs.google.com/spreadsheets/d/1Yj_ptqi66GCucihVvJfMjLAmec39IyEx_6qawtMGysU/edit?usp=sharing"",""สบก!BH22"")"),0)</f>
        <v>0</v>
      </c>
      <c r="M148" s="49"/>
      <c r="N148" s="49">
        <f ca="1">IFERROR(__xludf.DUMMYFUNCTION("IMPORTRANGE(""https://docs.google.com/spreadsheets/d/1Yj_ptqi66GCucihVvJfMjLAmec39IyEx_6qawtMGysU/edit?usp=sharing"",""สบก!BL22"")"),0)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IFERROR(__xludf.DUMMYFUNCTION("IMPORTRANGE(""https://docs.google.com/spreadsheets/d/11923uPwbBZFjjGgGUA6NLw09EwE0CqkOc4q9oUmW1yo/edit?usp=sharing"",""เชียงใหม่!I74"")"),4)</f>
        <v>4</v>
      </c>
      <c r="J149" s="274">
        <f ca="1">IFERROR(__xludf.DUMMYFUNCTION("IMPORTRANGE(""https://docs.google.com/spreadsheets/d/11923uPwbBZFjjGgGUA6NLw09EwE0CqkOc4q9oUmW1yo/edit?usp=sharing"",""เชียงใหม่!J74"")"),2)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IFERROR(__xludf.DUMMYFUNCTION("IMPORTRANGE(""https://docs.google.com/spreadsheets/d/11923uPwbBZFjjGgGUA6NLw09EwE0CqkOc4q9oUmW1yo/edit?usp=sharing"",""เชียงใหม่!J79"")"),0)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IFERROR(__xludf.DUMMYFUNCTION("IMPORTRANGE(""https://docs.google.com/spreadsheets/d/11923uPwbBZFjjGgGUA6NLw09EwE0CqkOc4q9oUmW1yo/edit?usp=sharing"",""เชียงใหม่!J80"")"),1)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IFERROR(__xludf.DUMMYFUNCTION("IMPORTRANGE(""https://docs.google.com/spreadsheets/d/11923uPwbBZFjjGgGUA6NLw09EwE0CqkOc4q9oUmW1yo/edit?usp=sharing"",""เชียงใหม่!J81"")"),1)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IFERROR(__xludf.DUMMYFUNCTION("IMPORTRANGE(""https://docs.google.com/spreadsheets/d/11923uPwbBZFjjGgGUA6NLw09EwE0CqkOc4q9oUmW1yo/edit?usp=sharing"",""เชียงใหม่!J82"")"),1)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IFERROR(__xludf.DUMMYFUNCTION("IMPORTRANGE(""https://docs.google.com/spreadsheets/d/11923uPwbBZFjjGgGUA6NLw09EwE0CqkOc4q9oUmW1yo/edit?usp=sharing"",""เชียงใหม่!I83"")"),4)</f>
        <v>4</v>
      </c>
      <c r="J158" s="188">
        <f ca="1">IFERROR(__xludf.DUMMYFUNCTION("IMPORTRANGE(""https://docs.google.com/spreadsheets/d/11923uPwbBZFjjGgGUA6NLw09EwE0CqkOc4q9oUmW1yo/edit?usp=sharing"",""เชียงใหม่!J83"")"),2)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IFERROR(__xludf.DUMMYFUNCTION("IMPORTRANGE(""https://docs.google.com/spreadsheets/d/11923uPwbBZFjjGgGUA6NLw09EwE0CqkOc4q9oUmW1yo/edit?usp=sharing"",""เชียงใหม่!J84"")"),19)</f>
        <v>19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IFERROR(__xludf.DUMMYFUNCTION("IMPORTRANGE(""https://docs.google.com/spreadsheets/d/11923uPwbBZFjjGgGUA6NLw09EwE0CqkOc4q9oUmW1yo/edit?usp=sharing"",""เชียงใหม่!J85"")"),19)</f>
        <v>19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IFERROR(__xludf.DUMMYFUNCTION("IMPORTRANGE(""https://docs.google.com/spreadsheets/d/11923uPwbBZFjjGgGUA6NLw09EwE0CqkOc4q9oUmW1yo/edit?usp=sharing"",""เชียงใหม่!J86"")"),0)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IFERROR(__xludf.DUMMYFUNCTION("IMPORTRANGE(""https://docs.google.com/spreadsheets/d/11923uPwbBZFjjGgGUA6NLw09EwE0CqkOc4q9oUmW1yo/edit?usp=sharing"",""เชียงใหม่!J87"")"),0)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IFERROR(__xludf.DUMMYFUNCTION("IMPORTRANGE(""https://docs.google.com/spreadsheets/d/11923uPwbBZFjjGgGUA6NLw09EwE0CqkOc4q9oUmW1yo/edit?usp=sharing"",""เชียงใหม่!J88"")"),0)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IFERROR(__xludf.DUMMYFUNCTION("IMPORTRANGE(""https://docs.google.com/spreadsheets/d/11923uPwbBZFjjGgGUA6NLw09EwE0CqkOc4q9oUmW1yo/edit?usp=sharing"",""เชียงใหม่!I89"")"),2)</f>
        <v>2</v>
      </c>
      <c r="J164" s="282">
        <f ca="1">IFERROR(__xludf.DUMMYFUNCTION("IMPORTRANGE(""https://docs.google.com/spreadsheets/d/11923uPwbBZFjjGgGUA6NLw09EwE0CqkOc4q9oUmW1yo/edit?usp=sharing"",""เชียงใหม่!J89"")"),2)</f>
        <v>2</v>
      </c>
      <c r="K164" s="283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IFERROR(__xludf.DUMMYFUNCTION("IMPORTRANGE(""https://docs.google.com/spreadsheets/d/11923uPwbBZFjjGgGUA6NLw09EwE0CqkOc4q9oUmW1yo/edit?usp=sharing"",""เชียงใหม่!J94"")"),0)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IFERROR(__xludf.DUMMYFUNCTION("IMPORTRANGE(""https://docs.google.com/spreadsheets/d/11923uPwbBZFjjGgGUA6NLw09EwE0CqkOc4q9oUmW1yo/edit?usp=sharing"",""เชียงใหม่!J95"")"),1)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IFERROR(__xludf.DUMMYFUNCTION("IMPORTRANGE(""https://docs.google.com/spreadsheets/d/11923uPwbBZFjjGgGUA6NLw09EwE0CqkOc4q9oUmW1yo/edit?usp=sharing"",""เชียงใหม่!J96"")"),1)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IFERROR(__xludf.DUMMYFUNCTION("IMPORTRANGE(""https://docs.google.com/spreadsheets/d/11923uPwbBZFjjGgGUA6NLw09EwE0CqkOc4q9oUmW1yo/edit?usp=sharing"",""เชียงใหม่!J97"")"),1)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IFERROR(__xludf.DUMMYFUNCTION("IMPORTRANGE(""https://docs.google.com/spreadsheets/d/11923uPwbBZFjjGgGUA6NLw09EwE0CqkOc4q9oUmW1yo/edit?usp=sharing"",""เชียงใหม่!I98"")"),2)</f>
        <v>2</v>
      </c>
      <c r="J173" s="188">
        <f ca="1">IFERROR(__xludf.DUMMYFUNCTION("IMPORTRANGE(""https://docs.google.com/spreadsheets/d/11923uPwbBZFjjGgGUA6NLw09EwE0CqkOc4q9oUmW1yo/edit?usp=sharing"",""เชียงใหม่!J98"")"),2)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IFERROR(__xludf.DUMMYFUNCTION("IMPORTRANGE(""https://docs.google.com/spreadsheets/d/11923uPwbBZFjjGgGUA6NLw09EwE0CqkOc4q9oUmW1yo/edit?usp=sharing"",""เชียงใหม่!J99"")"),0)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IFERROR(__xludf.DUMMYFUNCTION("IMPORTRANGE(""https://docs.google.com/spreadsheets/d/11923uPwbBZFjjGgGUA6NLw09EwE0CqkOc4q9oUmW1yo/edit?usp=sharing"",""เชียงใหม่!J100"")"),0)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IFERROR(__xludf.DUMMYFUNCTION("IMPORTRANGE(""https://docs.google.com/spreadsheets/d/11923uPwbBZFjjGgGUA6NLw09EwE0CqkOc4q9oUmW1yo/edit?usp=sharing"",""เชียงใหม่!I101"")"),1)</f>
        <v>1</v>
      </c>
      <c r="J176" s="282">
        <f ca="1">IFERROR(__xludf.DUMMYFUNCTION("IMPORTRANGE(""https://docs.google.com/spreadsheets/d/11923uPwbBZFjjGgGUA6NLw09EwE0CqkOc4q9oUmW1yo/edit?usp=sharing"",""เชียงใหม่!J101"")"),1)</f>
        <v>1</v>
      </c>
      <c r="K176" s="283">
        <f ca="1">IF(I176&gt;0,J176*100/I176,0)</f>
        <v>100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IFERROR(__xludf.DUMMYFUNCTION("IMPORTRANGE(""https://docs.google.com/spreadsheets/d/11923uPwbBZFjjGgGUA6NLw09EwE0CqkOc4q9oUmW1yo/edit?usp=sharing"",""เชียงใหม่!J106"")"),0)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IFERROR(__xludf.DUMMYFUNCTION("IMPORTRANGE(""https://docs.google.com/spreadsheets/d/11923uPwbBZFjjGgGUA6NLw09EwE0CqkOc4q9oUmW1yo/edit?usp=sharing"",""เชียงใหม่!J107"")"),1)</f>
        <v>1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IFERROR(__xludf.DUMMYFUNCTION("IMPORTRANGE(""https://docs.google.com/spreadsheets/d/11923uPwbBZFjjGgGUA6NLw09EwE0CqkOc4q9oUmW1yo/edit?usp=sharing"",""เชียงใหม่!J108"")"),1)</f>
        <v>1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IFERROR(__xludf.DUMMYFUNCTION("IMPORTRANGE(""https://docs.google.com/spreadsheets/d/11923uPwbBZFjjGgGUA6NLw09EwE0CqkOc4q9oUmW1yo/edit?usp=sharing"",""เชียงใหม่!J109"")"),1)</f>
        <v>1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IFERROR(__xludf.DUMMYFUNCTION("IMPORTRANGE(""https://docs.google.com/spreadsheets/d/11923uPwbBZFjjGgGUA6NLw09EwE0CqkOc4q9oUmW1yo/edit?usp=sharing"",""เชียงใหม่!I110"")"),1)</f>
        <v>1</v>
      </c>
      <c r="J185" s="203">
        <f ca="1">IFERROR(__xludf.DUMMYFUNCTION("IMPORTRANGE(""https://docs.google.com/spreadsheets/d/11923uPwbBZFjjGgGUA6NLw09EwE0CqkOc4q9oUmW1yo/edit?usp=sharing"",""เชียงใหม่!J110"")"),0)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IFERROR(__xludf.DUMMYFUNCTION("IMPORTRANGE(""https://docs.google.com/spreadsheets/d/11923uPwbBZFjjGgGUA6NLw09EwE0CqkOc4q9oUmW1yo/edit?usp=sharing"",""เชียงใหม่!I111"")"),1)</f>
        <v>1</v>
      </c>
      <c r="J186" s="203">
        <f ca="1">IFERROR(__xludf.DUMMYFUNCTION("IMPORTRANGE(""https://docs.google.com/spreadsheets/d/11923uPwbBZFjjGgGUA6NLw09EwE0CqkOc4q9oUmW1yo/edit?usp=sharing"",""เชียงใหม่!J111"")"),1)</f>
        <v>1</v>
      </c>
      <c r="K186" s="223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IFERROR(__xludf.DUMMYFUNCTION("IMPORTRANGE(""https://docs.google.com/spreadsheets/d/11923uPwbBZFjjGgGUA6NLw09EwE0CqkOc4q9oUmW1yo/edit?usp=sharing"",""เชียงใหม่!J112"")"),0)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IFERROR(__xludf.DUMMYFUNCTION("IMPORTRANGE(""https://docs.google.com/spreadsheets/d/11923uPwbBZFjjGgGUA6NLw09EwE0CqkOc4q9oUmW1yo/edit?usp=sharing"",""เชียงใหม่!J113"")"),0)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IFERROR(__xludf.DUMMYFUNCTION("IMPORTRANGE(""https://docs.google.com/spreadsheets/d/11923uPwbBZFjjGgGUA6NLw09EwE0CqkOc4q9oUmW1yo/edit?usp=sharing"",""เชียงใหม่!I114"")"),16000)</f>
        <v>16000</v>
      </c>
      <c r="J189" s="282">
        <f ca="1">IFERROR(__xludf.DUMMYFUNCTION("IMPORTRANGE(""https://docs.google.com/spreadsheets/d/11923uPwbBZFjjGgGUA6NLw09EwE0CqkOc4q9oUmW1yo/edit?usp=sharing"",""เชียงใหม่!J114"")"),0)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IFERROR(__xludf.DUMMYFUNCTION("IMPORTRANGE(""https://docs.google.com/spreadsheets/d/11923uPwbBZFjjGgGUA6NLw09EwE0CqkOc4q9oUmW1yo/edit?usp=sharing"",""เชียงใหม่!J119"")"),0)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IFERROR(__xludf.DUMMYFUNCTION("IMPORTRANGE(""https://docs.google.com/spreadsheets/d/11923uPwbBZFjjGgGUA6NLw09EwE0CqkOc4q9oUmW1yo/edit?usp=sharing"",""เชียงใหม่!J120"")"),1)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IFERROR(__xludf.DUMMYFUNCTION("IMPORTRANGE(""https://docs.google.com/spreadsheets/d/11923uPwbBZFjjGgGUA6NLw09EwE0CqkOc4q9oUmW1yo/edit?usp=sharing"",""เชียงใหม่!J121"")"),1)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IFERROR(__xludf.DUMMYFUNCTION("IMPORTRANGE(""https://docs.google.com/spreadsheets/d/11923uPwbBZFjjGgGUA6NLw09EwE0CqkOc4q9oUmW1yo/edit?usp=sharing"",""เชียงใหม่!J122"")"),1)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IFERROR(__xludf.DUMMYFUNCTION("IMPORTRANGE(""https://docs.google.com/spreadsheets/d/11923uPwbBZFjjGgGUA6NLw09EwE0CqkOc4q9oUmW1yo/edit?usp=sharing"",""เชียงใหม่!I124"")"),16000)</f>
        <v>16000</v>
      </c>
      <c r="J199" s="188">
        <f ca="1">IFERROR(__xludf.DUMMYFUNCTION("IMPORTRANGE(""https://docs.google.com/spreadsheets/d/11923uPwbBZFjjGgGUA6NLw09EwE0CqkOc4q9oUmW1yo/edit?usp=sharing"",""เชียงใหม่!J124"")"),16000)</f>
        <v>16000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IFERROR(__xludf.DUMMYFUNCTION("IMPORTRANGE(""https://docs.google.com/spreadsheets/d/11923uPwbBZFjjGgGUA6NLw09EwE0CqkOc4q9oUmW1yo/edit?usp=sharing"",""เชียงใหม่!I125"")"),16000)</f>
        <v>16000</v>
      </c>
      <c r="J200" s="188">
        <f ca="1">IFERROR(__xludf.DUMMYFUNCTION("IMPORTRANGE(""https://docs.google.com/spreadsheets/d/11923uPwbBZFjjGgGUA6NLw09EwE0CqkOc4q9oUmW1yo/edit?usp=sharing"",""เชียงใหม่!J125"")"),0)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IFERROR(__xludf.DUMMYFUNCTION("IMPORTRANGE(""https://docs.google.com/spreadsheets/d/11923uPwbBZFjjGgGUA6NLw09EwE0CqkOc4q9oUmW1yo/edit?usp=sharing"",""เชียงใหม่!I126"")"),0)</f>
        <v>0</v>
      </c>
      <c r="J201" s="188">
        <f ca="1">IFERROR(__xludf.DUMMYFUNCTION("IMPORTRANGE(""https://docs.google.com/spreadsheets/d/11923uPwbBZFjjGgGUA6NLw09EwE0CqkOc4q9oUmW1yo/edit?usp=sharing"",""เชียงใหม่!J126"")"),0)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IFERROR(__xludf.DUMMYFUNCTION("IMPORTRANGE(""https://docs.google.com/spreadsheets/d/11923uPwbBZFjjGgGUA6NLw09EwE0CqkOc4q9oUmW1yo/edit?usp=sharing"",""เชียงใหม่!J127"")"),0)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IFERROR(__xludf.DUMMYFUNCTION("IMPORTRANGE(""https://docs.google.com/spreadsheets/d/11923uPwbBZFjjGgGUA6NLw09EwE0CqkOc4q9oUmW1yo/edit?usp=sharing"",""เชียงใหม่!J128"")"),0)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IFERROR(__xludf.DUMMYFUNCTION("IMPORTRANGE(""https://docs.google.com/spreadsheets/d/11923uPwbBZFjjGgGUA6NLw09EwE0CqkOc4q9oUmW1yo/edit?usp=sharing"",""เชียงใหม่!I129"")"),100)</f>
        <v>100</v>
      </c>
      <c r="J204" s="282">
        <f ca="1">IFERROR(__xludf.DUMMYFUNCTION("IMPORTRANGE(""https://docs.google.com/spreadsheets/d/11923uPwbBZFjjGgGUA6NLw09EwE0CqkOc4q9oUmW1yo/edit?usp=sharing"",""เชียงใหม่!J129"")"),100)</f>
        <v>100</v>
      </c>
      <c r="K204" s="283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IFERROR(__xludf.DUMMYFUNCTION("IMPORTRANGE(""https://docs.google.com/spreadsheets/d/11923uPwbBZFjjGgGUA6NLw09EwE0CqkOc4q9oUmW1yo/edit?usp=sharing"",""เชียงใหม่!J134"")"),0)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IFERROR(__xludf.DUMMYFUNCTION("IMPORTRANGE(""https://docs.google.com/spreadsheets/d/11923uPwbBZFjjGgGUA6NLw09EwE0CqkOc4q9oUmW1yo/edit?usp=sharing"",""เชียงใหม่!J135"")"),1)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IFERROR(__xludf.DUMMYFUNCTION("IMPORTRANGE(""https://docs.google.com/spreadsheets/d/11923uPwbBZFjjGgGUA6NLw09EwE0CqkOc4q9oUmW1yo/edit?usp=sharing"",""เชียงใหม่!J136"")"),1)</f>
        <v>1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IFERROR(__xludf.DUMMYFUNCTION("IMPORTRANGE(""https://docs.google.com/spreadsheets/d/11923uPwbBZFjjGgGUA6NLw09EwE0CqkOc4q9oUmW1yo/edit?usp=sharing"",""เชียงใหม่!J137"")"),1)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IFERROR(__xludf.DUMMYFUNCTION("IMPORTRANGE(""https://docs.google.com/spreadsheets/d/11923uPwbBZFjjGgGUA6NLw09EwE0CqkOc4q9oUmW1yo/edit?usp=sharing"",""เชียงใหม่!I138"")"),100)</f>
        <v>100</v>
      </c>
      <c r="J213" s="203">
        <f ca="1">IFERROR(__xludf.DUMMYFUNCTION("IMPORTRANGE(""https://docs.google.com/spreadsheets/d/11923uPwbBZFjjGgGUA6NLw09EwE0CqkOc4q9oUmW1yo/edit?usp=sharing"",""เชียงใหม่!J138"")"),100)</f>
        <v>100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IFERROR(__xludf.DUMMYFUNCTION("IMPORTRANGE(""https://docs.google.com/spreadsheets/d/11923uPwbBZFjjGgGUA6NLw09EwE0CqkOc4q9oUmW1yo/edit?usp=sharing"",""เชียงใหม่!I140"")"),0)</f>
        <v>0</v>
      </c>
      <c r="J215" s="203">
        <f ca="1">IFERROR(__xludf.DUMMYFUNCTION("IMPORTRANGE(""https://docs.google.com/spreadsheets/d/11923uPwbBZFjjGgGUA6NLw09EwE0CqkOc4q9oUmW1yo/edit?usp=sharing"",""เชียงใหม่!J140"")"),0)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IFERROR(__xludf.DUMMYFUNCTION("IMPORTRANGE(""https://docs.google.com/spreadsheets/d/11923uPwbBZFjjGgGUA6NLw09EwE0CqkOc4q9oUmW1yo/edit?usp=sharing"",""เชียงใหม่!I141"")"),3)</f>
        <v>3</v>
      </c>
      <c r="J216" s="203">
        <f ca="1">IFERROR(__xludf.DUMMYFUNCTION("IMPORTRANGE(""https://docs.google.com/spreadsheets/d/11923uPwbBZFjjGgGUA6NLw09EwE0CqkOc4q9oUmW1yo/edit?usp=sharing"",""เชียงใหม่!J141"")"),0)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IFERROR(__xludf.DUMMYFUNCTION("IMPORTRANGE(""https://docs.google.com/spreadsheets/d/11923uPwbBZFjjGgGUA6NLw09EwE0CqkOc4q9oUmW1yo/edit?usp=sharing"",""เชียงใหม่!J142"")"),0)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IFERROR(__xludf.DUMMYFUNCTION("IMPORTRANGE(""https://docs.google.com/spreadsheets/d/11923uPwbBZFjjGgGUA6NLw09EwE0CqkOc4q9oUmW1yo/edit?usp=sharing"",""เชียงใหม่!J143"")"),0)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IFERROR(__xludf.DUMMYFUNCTION("IMPORTRANGE(""https://docs.google.com/spreadsheets/d/11923uPwbBZFjjGgGUA6NLw09EwE0CqkOc4q9oUmW1yo/edit?usp=sharing"",""เชียงใหม่!I144"")"),15)</f>
        <v>15</v>
      </c>
      <c r="J219" s="266">
        <f ca="1">IFERROR(__xludf.DUMMYFUNCTION("IMPORTRANGE(""https://docs.google.com/spreadsheets/d/11923uPwbBZFjjGgGUA6NLw09EwE0CqkOc4q9oUmW1yo/edit?usp=sharing"",""เชียงใหม่!J144"")"),15)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20125</v>
      </c>
      <c r="O220" s="150">
        <f t="shared" ref="O220:O222" ca="1" si="73">IF(L220&gt;0,N220*100/L220,0)</f>
        <v>95.26627218934911</v>
      </c>
      <c r="P220" s="150">
        <f t="shared" ref="P220:P222" ca="1" si="74">IF(M220&gt;0,N220*100/M220,0)</f>
        <v>95.26627218934911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20125</v>
      </c>
      <c r="O222" s="155">
        <f t="shared" ca="1" si="73"/>
        <v>95.26627218934911</v>
      </c>
      <c r="P222" s="155">
        <f t="shared" ca="1" si="74"/>
        <v>95.26627218934911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IFERROR(__xludf.DUMMYFUNCTION("IMPORTRANGE(""https://docs.google.com/spreadsheets/d/1Yj_ptqi66GCucihVvJfMjLAmec39IyEx_6qawtMGysU/edit?usp=sharing"",""สบก!BS22"")"),21125)</f>
        <v>21125</v>
      </c>
      <c r="N224" s="168">
        <f ca="1">IFERROR(__xludf.DUMMYFUNCTION("IMPORTRANGE(""https://docs.google.com/spreadsheets/d/1Yj_ptqi66GCucihVvJfMjLAmec39IyEx_6qawtMGysU/edit?usp=sharing"",""สบก!BT22"")"),20125)</f>
        <v>20125</v>
      </c>
      <c r="O224" s="168">
        <f ca="1">IF(L224&gt;0,N224*100/L224,0)</f>
        <v>95.26627218934911</v>
      </c>
      <c r="P224" s="168">
        <f ca="1">IF(M224&gt;0,N224*100/M224,0)</f>
        <v>95.26627218934911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IFERROR(__xludf.DUMMYFUNCTION("IMPORTRANGE(""https://docs.google.com/spreadsheets/d/1Yj_ptqi66GCucihVvJfMjLAmec39IyEx_6qawtMGysU/edit?usp=sharing"",""สบก!BO22"")"),0)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IFERROR(__xludf.DUMMYFUNCTION("IMPORTRANGE(""https://docs.google.com/spreadsheets/d/1Yj_ptqi66GCucihVvJfMjLAmec39IyEx_6qawtMGysU/edit?usp=sharing"",""สบก!BP22"")"),21125)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IFERROR(__xludf.DUMMYFUNCTION("IMPORTRANGE(""https://docs.google.com/spreadsheets/d/1Yj_ptqi66GCucihVvJfMjLAmec39IyEx_6qawtMGysU/edit?usp=sharing"",""สบก!BQ22"")"),0)</f>
        <v>0</v>
      </c>
      <c r="M228" s="49"/>
      <c r="N228" s="49">
        <f ca="1">IFERROR(__xludf.DUMMYFUNCTION("IMPORTRANGE(""https://docs.google.com/spreadsheets/d/1Yj_ptqi66GCucihVvJfMjLAmec39IyEx_6qawtMGysU/edit?usp=sharing"",""สบก!BU22"")"),0)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IFERROR(__xludf.DUMMYFUNCTION("IMPORTRANGE(""https://docs.google.com/spreadsheets/d/11923uPwbBZFjjGgGUA6NLw09EwE0CqkOc4q9oUmW1yo/edit?usp=sharing"",""เชียงใหม่!I149"")"),15)</f>
        <v>15</v>
      </c>
      <c r="J229" s="266">
        <f ca="1">IFERROR(__xludf.DUMMYFUNCTION("IMPORTRANGE(""https://docs.google.com/spreadsheets/d/11923uPwbBZFjjGgGUA6NLw09EwE0CqkOc4q9oUmW1yo/edit?usp=sharing"",""เชียงใหม่!J149"")"),15)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IFERROR(__xludf.DUMMYFUNCTION("IMPORTRANGE(""https://docs.google.com/spreadsheets/d/11923uPwbBZFjjGgGUA6NLw09EwE0CqkOc4q9oUmW1yo/edit?usp=sharing"",""เชียงใหม่!J151"")"),0)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IFERROR(__xludf.DUMMYFUNCTION("IMPORTRANGE(""https://docs.google.com/spreadsheets/d/11923uPwbBZFjjGgGUA6NLw09EwE0CqkOc4q9oUmW1yo/edit?usp=sharing"",""เชียงใหม่!J152"")"),1)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IFERROR(__xludf.DUMMYFUNCTION("IMPORTRANGE(""https://docs.google.com/spreadsheets/d/11923uPwbBZFjjGgGUA6NLw09EwE0CqkOc4q9oUmW1yo/edit?usp=sharing"",""เชียงใหม่!J153"")"),1)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IFERROR(__xludf.DUMMYFUNCTION("IMPORTRANGE(""https://docs.google.com/spreadsheets/d/11923uPwbBZFjjGgGUA6NLw09EwE0CqkOc4q9oUmW1yo/edit?usp=sharing"",""เชียงใหม่!J154"")"),1)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IFERROR(__xludf.DUMMYFUNCTION("IMPORTRANGE(""https://docs.google.com/spreadsheets/d/11923uPwbBZFjjGgGUA6NLw09EwE0CqkOc4q9oUmW1yo/edit?usp=sharing"",""เชียงใหม่!I155"")"),15)</f>
        <v>15</v>
      </c>
      <c r="J235" s="188">
        <f ca="1">IFERROR(__xludf.DUMMYFUNCTION("IMPORTRANGE(""https://docs.google.com/spreadsheets/d/11923uPwbBZFjjGgGUA6NLw09EwE0CqkOc4q9oUmW1yo/edit?usp=sharing"",""เชียงใหม่!J155"")"),15)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IFERROR(__xludf.DUMMYFUNCTION("IMPORTRANGE(""https://docs.google.com/spreadsheets/d/11923uPwbBZFjjGgGUA6NLw09EwE0CqkOc4q9oUmW1yo/edit?usp=sharing"",""เชียงใหม่!J156"")"),0)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IFERROR(__xludf.DUMMYFUNCTION("IMPORTRANGE(""https://docs.google.com/spreadsheets/d/11923uPwbBZFjjGgGUA6NLw09EwE0CqkOc4q9oUmW1yo/edit?usp=sharing"",""เชียงใหม่!J157"")"),0)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IFERROR(__xludf.DUMMYFUNCTION("IMPORTRANGE(""https://docs.google.com/spreadsheets/d/11923uPwbBZFjjGgGUA6NLw09EwE0CqkOc4q9oUmW1yo/edit?usp=sharing"",""เชียงใหม่!I158"")"),0)</f>
        <v>0</v>
      </c>
      <c r="J238" s="266">
        <f ca="1">IFERROR(__xludf.DUMMYFUNCTION("IMPORTRANGE(""https://docs.google.com/spreadsheets/d/11923uPwbBZFjjGgGUA6NLw09EwE0CqkOc4q9oUmW1yo/edit?usp=sharing"",""เชียงใหม่!J158"")"),0)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IFERROR(__xludf.DUMMYFUNCTION("IMPORTRANGE(""https://docs.google.com/spreadsheets/d/11923uPwbBZFjjGgGUA6NLw09EwE0CqkOc4q9oUmW1yo/edit?usp=sharing"",""เชียงใหม่!J159"")"),"")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IFERROR(__xludf.DUMMYFUNCTION("IMPORTRANGE(""https://docs.google.com/spreadsheets/d/11923uPwbBZFjjGgGUA6NLw09EwE0CqkOc4q9oUmW1yo/edit?usp=sharing"",""เชียงใหม่!J161"")"),0)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IFERROR(__xludf.DUMMYFUNCTION("IMPORTRANGE(""https://docs.google.com/spreadsheets/d/11923uPwbBZFjjGgGUA6NLw09EwE0CqkOc4q9oUmW1yo/edit?usp=sharing"",""เชียงใหม่!J162"")"),0)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IFERROR(__xludf.DUMMYFUNCTION("IMPORTRANGE(""https://docs.google.com/spreadsheets/d/11923uPwbBZFjjGgGUA6NLw09EwE0CqkOc4q9oUmW1yo/edit?usp=sharing"",""เชียงใหม่!J163"")"),0)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IFERROR(__xludf.DUMMYFUNCTION("IMPORTRANGE(""https://docs.google.com/spreadsheets/d/11923uPwbBZFjjGgGUA6NLw09EwE0CqkOc4q9oUmW1yo/edit?usp=sharing"",""เชียงใหม่!I164"")"),0)</f>
        <v>0</v>
      </c>
      <c r="J244" s="187">
        <f ca="1">IFERROR(__xludf.DUMMYFUNCTION("IMPORTRANGE(""https://docs.google.com/spreadsheets/d/11923uPwbBZFjjGgGUA6NLw09EwE0CqkOc4q9oUmW1yo/edit?usp=sharing"",""เชียงใหม่!J164"")"),0)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IFERROR(__xludf.DUMMYFUNCTION("IMPORTRANGE(""https://docs.google.com/spreadsheets/d/11923uPwbBZFjjGgGUA6NLw09EwE0CqkOc4q9oUmW1yo/edit?usp=sharing"",""เชียงใหม่!J165"")"),0)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IFERROR(__xludf.DUMMYFUNCTION("IMPORTRANGE(""https://docs.google.com/spreadsheets/d/11923uPwbBZFjjGgGUA6NLw09EwE0CqkOc4q9oUmW1yo/edit?usp=sharing"",""เชียงใหม่!J166"")"),0)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IFERROR(__xludf.DUMMYFUNCTION("IMPORTRANGE(""https://docs.google.com/spreadsheets/d/11923uPwbBZFjjGgGUA6NLw09EwE0CqkOc4q9oUmW1yo/edit?usp=sharing"",""เชียงใหม่!I169"")"),20)</f>
        <v>20</v>
      </c>
      <c r="J249" s="314">
        <f ca="1">IFERROR(__xludf.DUMMYFUNCTION("IMPORTRANGE(""https://docs.google.com/spreadsheets/d/11923uPwbBZFjjGgGUA6NLw09EwE0CqkOc4q9oUmW1yo/edit?usp=sharing"",""เชียงใหม่!J169"")"),20)</f>
        <v>20</v>
      </c>
      <c r="K249" s="315">
        <f ca="1">IF(I249&gt;0,J249*100/I249,0)</f>
        <v>100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71400</v>
      </c>
      <c r="M250" s="151">
        <f t="shared" ca="1" si="77"/>
        <v>37000</v>
      </c>
      <c r="N250" s="151">
        <f t="shared" ca="1" si="77"/>
        <v>33442</v>
      </c>
      <c r="O250" s="150">
        <f t="shared" ref="O250:O252" ca="1" si="78">IF(L250&gt;0,N250*100/L250,0)</f>
        <v>46.837535014005603</v>
      </c>
      <c r="P250" s="150">
        <f t="shared" ref="P250:P252" ca="1" si="79">IF(M250&gt;0,N250*100/M250,0)</f>
        <v>90.383783783783784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71400</v>
      </c>
      <c r="M252" s="87">
        <f t="shared" ca="1" si="81"/>
        <v>37000</v>
      </c>
      <c r="N252" s="87">
        <f t="shared" ca="1" si="81"/>
        <v>33442</v>
      </c>
      <c r="O252" s="155">
        <f t="shared" ca="1" si="78"/>
        <v>46.837535014005603</v>
      </c>
      <c r="P252" s="155">
        <f t="shared" ca="1" si="79"/>
        <v>90.383783783783784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IFERROR(__xludf.DUMMYFUNCTION("IMPORTRANGE(""https://docs.google.com/spreadsheets/d/1Yj_ptqi66GCucihVvJfMjLAmec39IyEx_6qawtMGysU/edit?usp=sharing"",""สบก!CB22"")"),37000)</f>
        <v>37000</v>
      </c>
      <c r="N254" s="168">
        <f ca="1">IFERROR(__xludf.DUMMYFUNCTION("IMPORTRANGE(""https://docs.google.com/spreadsheets/d/1Yj_ptqi66GCucihVvJfMjLAmec39IyEx_6qawtMGysU/edit?usp=sharing"",""สบก!CC22"")"),33442)</f>
        <v>33442</v>
      </c>
      <c r="O254" s="168">
        <f ca="1">IF(L254&gt;0,N254*100/L254,0)</f>
        <v>46.837535014005603</v>
      </c>
      <c r="P254" s="168">
        <f ca="1">IF(M254&gt;0,N254*100/M254,0)</f>
        <v>90.383783783783784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IFERROR(__xludf.DUMMYFUNCTION("IMPORTRANGE(""https://docs.google.com/spreadsheets/d/1Yj_ptqi66GCucihVvJfMjLAmec39IyEx_6qawtMGysU/edit?usp=sharing"",""สบก!BX22"")"),0)</f>
        <v>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IFERROR(__xludf.DUMMYFUNCTION("IMPORTRANGE(""https://docs.google.com/spreadsheets/d/1Yj_ptqi66GCucihVvJfMjLAmec39IyEx_6qawtMGysU/edit?usp=sharing"",""สบก!BY22"")"),71400)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IFERROR(__xludf.DUMMYFUNCTION("IMPORTRANGE(""https://docs.google.com/spreadsheets/d/1Yj_ptqi66GCucihVvJfMjLAmec39IyEx_6qawtMGysU/edit?usp=sharing"",""สบก!BZ22"")"),0)</f>
        <v>0</v>
      </c>
      <c r="M258" s="49"/>
      <c r="N258" s="49">
        <f ca="1">IFERROR(__xludf.DUMMYFUNCTION("IMPORTRANGE(""https://docs.google.com/spreadsheets/d/1Yj_ptqi66GCucihVvJfMjLAmec39IyEx_6qawtMGysU/edit?usp=sharing"",""สบก!CD22"")"),0)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IFERROR(__xludf.DUMMYFUNCTION("IMPORTRANGE(""https://docs.google.com/spreadsheets/d/11923uPwbBZFjjGgGUA6NLw09EwE0CqkOc4q9oUmW1yo/edit?usp=sharing"",""เชียงใหม่!J175"")"),0)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IFERROR(__xludf.DUMMYFUNCTION("IMPORTRANGE(""https://docs.google.com/spreadsheets/d/11923uPwbBZFjjGgGUA6NLw09EwE0CqkOc4q9oUmW1yo/edit?usp=sharing"",""เชียงใหม่!J176"")"),1)</f>
        <v>1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IFERROR(__xludf.DUMMYFUNCTION("IMPORTRANGE(""https://docs.google.com/spreadsheets/d/11923uPwbBZFjjGgGUA6NLw09EwE0CqkOc4q9oUmW1yo/edit?usp=sharing"",""เชียงใหม่!J177"")"),1)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IFERROR(__xludf.DUMMYFUNCTION("IMPORTRANGE(""https://docs.google.com/spreadsheets/d/11923uPwbBZFjjGgGUA6NLw09EwE0CqkOc4q9oUmW1yo/edit?usp=sharing"",""เชียงใหม่!J178"")"),1)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IFERROR(__xludf.DUMMYFUNCTION("IMPORTRANGE(""https://docs.google.com/spreadsheets/d/11923uPwbBZFjjGgGUA6NLw09EwE0CqkOc4q9oUmW1yo/edit?usp=sharing"",""เชียงใหม่!I179"")"),1)</f>
        <v>1</v>
      </c>
      <c r="J264" s="188">
        <f ca="1">IFERROR(__xludf.DUMMYFUNCTION("IMPORTRANGE(""https://docs.google.com/spreadsheets/d/11923uPwbBZFjjGgGUA6NLw09EwE0CqkOc4q9oUmW1yo/edit?usp=sharing"",""เชียงใหม่!J179"")"),1)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IFERROR(__xludf.DUMMYFUNCTION("IMPORTRANGE(""https://docs.google.com/spreadsheets/d/11923uPwbBZFjjGgGUA6NLw09EwE0CqkOc4q9oUmW1yo/edit?usp=sharing"",""เชียงใหม่!I180"")"),20)</f>
        <v>20</v>
      </c>
      <c r="J265" s="188">
        <f ca="1">IFERROR(__xludf.DUMMYFUNCTION("IMPORTRANGE(""https://docs.google.com/spreadsheets/d/11923uPwbBZFjjGgGUA6NLw09EwE0CqkOc4q9oUmW1yo/edit?usp=sharing"",""เชียงใหม่!J180"")"),20)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IFERROR(__xludf.DUMMYFUNCTION("IMPORTRANGE(""https://docs.google.com/spreadsheets/d/11923uPwbBZFjjGgGUA6NLw09EwE0CqkOc4q9oUmW1yo/edit?usp=sharing"",""เชียงใหม่!I181"")"),20)</f>
        <v>20</v>
      </c>
      <c r="J266" s="188">
        <f ca="1">IFERROR(__xludf.DUMMYFUNCTION("IMPORTRANGE(""https://docs.google.com/spreadsheets/d/11923uPwbBZFjjGgGUA6NLw09EwE0CqkOc4q9oUmW1yo/edit?usp=sharing"",""เชียงใหม่!J181"")"),0)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IFERROR(__xludf.DUMMYFUNCTION("IMPORTRANGE(""https://docs.google.com/spreadsheets/d/11923uPwbBZFjjGgGUA6NLw09EwE0CqkOc4q9oUmW1yo/edit?usp=sharing"",""เชียงใหม่!I182"")"),1)</f>
        <v>1</v>
      </c>
      <c r="J267" s="188">
        <f ca="1">IFERROR(__xludf.DUMMYFUNCTION("IMPORTRANGE(""https://docs.google.com/spreadsheets/d/11923uPwbBZFjjGgGUA6NLw09EwE0CqkOc4q9oUmW1yo/edit?usp=sharing"",""เชียงใหม่!J182"")"),0)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IFERROR(__xludf.DUMMYFUNCTION("IMPORTRANGE(""https://docs.google.com/spreadsheets/d/11923uPwbBZFjjGgGUA6NLw09EwE0CqkOc4q9oUmW1yo/edit?usp=sharing"",""เชียงใหม่!J183"")"),0)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IFERROR(__xludf.DUMMYFUNCTION("IMPORTRANGE(""https://docs.google.com/spreadsheets/d/11923uPwbBZFjjGgGUA6NLw09EwE0CqkOc4q9oUmW1yo/edit?usp=sharing"",""เชียงใหม่!J184"")"),0)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IFERROR(__xludf.DUMMYFUNCTION("IMPORTRANGE(""https://docs.google.com/spreadsheets/d/11923uPwbBZFjjGgGUA6NLw09EwE0CqkOc4q9oUmW1yo/edit?usp=sharing"",""เชียงใหม่!I185"")"),15)</f>
        <v>15</v>
      </c>
      <c r="J270" s="314">
        <f ca="1">IFERROR(__xludf.DUMMYFUNCTION("IMPORTRANGE(""https://docs.google.com/spreadsheets/d/11923uPwbBZFjjGgGUA6NLw09EwE0CqkOc4q9oUmW1yo/edit?usp=sharing"",""เชียงใหม่!J185"")"),15)</f>
        <v>15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105700</v>
      </c>
      <c r="M271" s="151">
        <f t="shared" ca="1" si="83"/>
        <v>80000</v>
      </c>
      <c r="N271" s="151">
        <f t="shared" ca="1" si="83"/>
        <v>42901</v>
      </c>
      <c r="O271" s="150">
        <f t="shared" ref="O271:O273" ca="1" si="84">IF(L271&gt;0,N271*100/L271,0)</f>
        <v>40.587511825922419</v>
      </c>
      <c r="P271" s="150">
        <f t="shared" ref="P271:P273" ca="1" si="85">IF(M271&gt;0,N271*100/M271,0)</f>
        <v>53.626249999999999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105700</v>
      </c>
      <c r="M273" s="87">
        <f t="shared" ca="1" si="87"/>
        <v>80000</v>
      </c>
      <c r="N273" s="87">
        <f t="shared" ca="1" si="87"/>
        <v>42901</v>
      </c>
      <c r="O273" s="155">
        <f t="shared" ca="1" si="84"/>
        <v>40.587511825922419</v>
      </c>
      <c r="P273" s="155">
        <f t="shared" ca="1" si="85"/>
        <v>53.626249999999999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IFERROR(__xludf.DUMMYFUNCTION("IMPORTRANGE(""https://docs.google.com/spreadsheets/d/1Yj_ptqi66GCucihVvJfMjLAmec39IyEx_6qawtMGysU/edit?usp=sharing"",""สบก!CK22"")"),80000)</f>
        <v>80000</v>
      </c>
      <c r="N275" s="168">
        <f ca="1">IFERROR(__xludf.DUMMYFUNCTION("IMPORTRANGE(""https://docs.google.com/spreadsheets/d/1Yj_ptqi66GCucihVvJfMjLAmec39IyEx_6qawtMGysU/edit?usp=sharing"",""สบก!CL22"")"),42901)</f>
        <v>42901</v>
      </c>
      <c r="O275" s="168">
        <f ca="1">IF(L275&gt;0,N275*100/L275,0)</f>
        <v>40.587511825922419</v>
      </c>
      <c r="P275" s="168">
        <f ca="1">IF(M275&gt;0,N275*100/M275,0)</f>
        <v>53.626249999999999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IFERROR(__xludf.DUMMYFUNCTION("IMPORTRANGE(""https://docs.google.com/spreadsheets/d/1Yj_ptqi66GCucihVvJfMjLAmec39IyEx_6qawtMGysU/edit?usp=sharing"",""สบก!CG22"")"),0)</f>
        <v>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IFERROR(__xludf.DUMMYFUNCTION("IMPORTRANGE(""https://docs.google.com/spreadsheets/d/1Yj_ptqi66GCucihVvJfMjLAmec39IyEx_6qawtMGysU/edit?usp=sharing"",""สบก!CH22"")"),105700)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IFERROR(__xludf.DUMMYFUNCTION("IMPORTRANGE(""https://docs.google.com/spreadsheets/d/1Yj_ptqi66GCucihVvJfMjLAmec39IyEx_6qawtMGysU/edit?usp=sharing"",""สบก!CI22"")"),0)</f>
        <v>0</v>
      </c>
      <c r="M279" s="49"/>
      <c r="N279" s="49">
        <f ca="1">IFERROR(__xludf.DUMMYFUNCTION("IMPORTRANGE(""https://docs.google.com/spreadsheets/d/1Yj_ptqi66GCucihVvJfMjLAmec39IyEx_6qawtMGysU/edit?usp=sharing"",""สบก!CM22"")"),0)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IFERROR(__xludf.DUMMYFUNCTION("IMPORTRANGE(""https://docs.google.com/spreadsheets/d/11923uPwbBZFjjGgGUA6NLw09EwE0CqkOc4q9oUmW1yo/edit?usp=sharing"",""เชียงใหม่!J191"")"),0)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IFERROR(__xludf.DUMMYFUNCTION("IMPORTRANGE(""https://docs.google.com/spreadsheets/d/11923uPwbBZFjjGgGUA6NLw09EwE0CqkOc4q9oUmW1yo/edit?usp=sharing"",""เชียงใหม่!J192"")"),1)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IFERROR(__xludf.DUMMYFUNCTION("IMPORTRANGE(""https://docs.google.com/spreadsheets/d/11923uPwbBZFjjGgGUA6NLw09EwE0CqkOc4q9oUmW1yo/edit?usp=sharing"",""เชียงใหม่!J193"")"),1)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IFERROR(__xludf.DUMMYFUNCTION("IMPORTRANGE(""https://docs.google.com/spreadsheets/d/11923uPwbBZFjjGgGUA6NLw09EwE0CqkOc4q9oUmW1yo/edit?usp=sharing"",""เชียงใหม่!J194"")"),1)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IFERROR(__xludf.DUMMYFUNCTION("IMPORTRANGE(""https://docs.google.com/spreadsheets/d/11923uPwbBZFjjGgGUA6NLw09EwE0CqkOc4q9oUmW1yo/edit?usp=sharing"",""เชียงใหม่!I195"")"),15)</f>
        <v>15</v>
      </c>
      <c r="J285" s="188">
        <f ca="1">IFERROR(__xludf.DUMMYFUNCTION("IMPORTRANGE(""https://docs.google.com/spreadsheets/d/11923uPwbBZFjjGgGUA6NLw09EwE0CqkOc4q9oUmW1yo/edit?usp=sharing"",""เชียงใหม่!J195"")"),15)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IFERROR(__xludf.DUMMYFUNCTION("IMPORTRANGE(""https://docs.google.com/spreadsheets/d/11923uPwbBZFjjGgGUA6NLw09EwE0CqkOc4q9oUmW1yo/edit?usp=sharing"",""เชียงใหม่!J196"")"),0)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IFERROR(__xludf.DUMMYFUNCTION("IMPORTRANGE(""https://docs.google.com/spreadsheets/d/11923uPwbBZFjjGgGUA6NLw09EwE0CqkOc4q9oUmW1yo/edit?usp=sharing"",""เชียงใหม่!J197"")"),0)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IFERROR(__xludf.DUMMYFUNCTION("IMPORTRANGE(""https://docs.google.com/spreadsheets/d/11923uPwbBZFjjGgGUA6NLw09EwE0CqkOc4q9oUmW1yo/edit?usp=sharing"",""เชียงใหม่!I199"")"),0)</f>
        <v>0</v>
      </c>
      <c r="J289" s="314">
        <f ca="1">IFERROR(__xludf.DUMMYFUNCTION("IMPORTRANGE(""https://docs.google.com/spreadsheets/d/11923uPwbBZFjjGgGUA6NLw09EwE0CqkOc4q9oUmW1yo/edit?usp=sharing"",""เชียงใหม่!J199"")"),0)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IFERROR(__xludf.DUMMYFUNCTION("IMPORTRANGE(""https://docs.google.com/spreadsheets/d/1Yj_ptqi66GCucihVvJfMjLAmec39IyEx_6qawtMGysU/edit?usp=sharing"",""สบก!CT22"")"),0)</f>
        <v>0</v>
      </c>
      <c r="N294" s="168">
        <f ca="1">IFERROR(__xludf.DUMMYFUNCTION("IMPORTRANGE(""https://docs.google.com/spreadsheets/d/1Yj_ptqi66GCucihVvJfMjLAmec39IyEx_6qawtMGysU/edit?usp=sharing"",""สบก!CU22"")"),0)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IFERROR(__xludf.DUMMYFUNCTION("IMPORTRANGE(""https://docs.google.com/spreadsheets/d/1Yj_ptqi66GCucihVvJfMjLAmec39IyEx_6qawtMGysU/edit?usp=sharing"",""สบก!CP22"")"),0)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IFERROR(__xludf.DUMMYFUNCTION("IMPORTRANGE(""https://docs.google.com/spreadsheets/d/1Yj_ptqi66GCucihVvJfMjLAmec39IyEx_6qawtMGysU/edit?usp=sharing"",""สบก!CQ22"")"),0)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IFERROR(__xludf.DUMMYFUNCTION("IMPORTRANGE(""https://docs.google.com/spreadsheets/d/1Yj_ptqi66GCucihVvJfMjLAmec39IyEx_6qawtMGysU/edit?usp=sharing"",""สบก!CR22"")"),0)</f>
        <v>0</v>
      </c>
      <c r="M298" s="49"/>
      <c r="N298" s="49">
        <f ca="1">IFERROR(__xludf.DUMMYFUNCTION("IMPORTRANGE(""https://docs.google.com/spreadsheets/d/1Yj_ptqi66GCucihVvJfMjLAmec39IyEx_6qawtMGysU/edit?usp=sharing"",""สบก!CV22"")"),0)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IFERROR(__xludf.DUMMYFUNCTION("IMPORTRANGE(""https://docs.google.com/spreadsheets/d/11923uPwbBZFjjGgGUA6NLw09EwE0CqkOc4q9oUmW1yo/edit?usp=sharing"",""เชียงใหม่!J205"")"),0)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IFERROR(__xludf.DUMMYFUNCTION("IMPORTRANGE(""https://docs.google.com/spreadsheets/d/11923uPwbBZFjjGgGUA6NLw09EwE0CqkOc4q9oUmW1yo/edit?usp=sharing"",""เชียงใหม่!J206"")"),0)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IFERROR(__xludf.DUMMYFUNCTION("IMPORTRANGE(""https://docs.google.com/spreadsheets/d/11923uPwbBZFjjGgGUA6NLw09EwE0CqkOc4q9oUmW1yo/edit?usp=sharing"",""เชียงใหม่!J207"")"),0)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IFERROR(__xludf.DUMMYFUNCTION("IMPORTRANGE(""https://docs.google.com/spreadsheets/d/11923uPwbBZFjjGgGUA6NLw09EwE0CqkOc4q9oUmW1yo/edit?usp=sharing"",""เชียงใหม่!J208"")"),0)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IFERROR(__xludf.DUMMYFUNCTION("IMPORTRANGE(""https://docs.google.com/spreadsheets/d/11923uPwbBZFjjGgGUA6NLw09EwE0CqkOc4q9oUmW1yo/edit?usp=sharing"",""เชียงใหม่!I209"")"),0)</f>
        <v>0</v>
      </c>
      <c r="J304" s="203">
        <f ca="1">IFERROR(__xludf.DUMMYFUNCTION("IMPORTRANGE(""https://docs.google.com/spreadsheets/d/11923uPwbBZFjjGgGUA6NLw09EwE0CqkOc4q9oUmW1yo/edit?usp=sharing"",""เชียงใหม่!J209"")"),0)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IFERROR(__xludf.DUMMYFUNCTION("IMPORTRANGE(""https://docs.google.com/spreadsheets/d/11923uPwbBZFjjGgGUA6NLw09EwE0CqkOc4q9oUmW1yo/edit?usp=sharing"",""เชียงใหม่!I211"")"),0)</f>
        <v>0</v>
      </c>
      <c r="J306" s="203">
        <f ca="1">IFERROR(__xludf.DUMMYFUNCTION("IMPORTRANGE(""https://docs.google.com/spreadsheets/d/11923uPwbBZFjjGgGUA6NLw09EwE0CqkOc4q9oUmW1yo/edit?usp=sharing"",""เชียงใหม่!J211"")"),0)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IFERROR(__xludf.DUMMYFUNCTION("IMPORTRANGE(""https://docs.google.com/spreadsheets/d/11923uPwbBZFjjGgGUA6NLw09EwE0CqkOc4q9oUmW1yo/edit?usp=sharing"",""เชียงใหม่!J212"")"),0)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IFERROR(__xludf.DUMMYFUNCTION("IMPORTRANGE(""https://docs.google.com/spreadsheets/d/11923uPwbBZFjjGgGUA6NLw09EwE0CqkOc4q9oUmW1yo/edit?usp=sharing"",""เชียงใหม่!J213"")"),0)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IFERROR(__xludf.DUMMYFUNCTION("IMPORTRANGE(""https://docs.google.com/spreadsheets/d/11923uPwbBZFjjGgGUA6NLw09EwE0CqkOc4q9oUmW1yo/edit?usp=sharing"",""เชียงใหม่!I214"")"),6)</f>
        <v>6</v>
      </c>
      <c r="J309" s="331">
        <f ca="1">IFERROR(__xludf.DUMMYFUNCTION("IMPORTRANGE(""https://docs.google.com/spreadsheets/d/11923uPwbBZFjjGgGUA6NLw09EwE0CqkOc4q9oUmW1yo/edit?usp=sharing"",""เชียงใหม่!J214"")"),2)</f>
        <v>2</v>
      </c>
      <c r="K309" s="332">
        <f ca="1">IF(I309&gt;0,J309*100/I309,0)</f>
        <v>33.333333333333336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315600</v>
      </c>
      <c r="M310" s="151">
        <f t="shared" ca="1" si="93"/>
        <v>157800</v>
      </c>
      <c r="N310" s="151">
        <f t="shared" ca="1" si="93"/>
        <v>81548</v>
      </c>
      <c r="O310" s="150">
        <f t="shared" ref="O310:O312" ca="1" si="94">IF(L310&gt;0,N310*100/L310,0)</f>
        <v>25.839036755386566</v>
      </c>
      <c r="P310" s="150">
        <f t="shared" ref="P310:P312" ca="1" si="95">IF(M310&gt;0,N310*100/M310,0)</f>
        <v>51.678073510773132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315600</v>
      </c>
      <c r="M312" s="87">
        <f t="shared" ca="1" si="97"/>
        <v>157800</v>
      </c>
      <c r="N312" s="87">
        <f t="shared" ca="1" si="97"/>
        <v>81548</v>
      </c>
      <c r="O312" s="155">
        <f t="shared" ca="1" si="94"/>
        <v>25.839036755386566</v>
      </c>
      <c r="P312" s="155">
        <f t="shared" ca="1" si="95"/>
        <v>51.678073510773132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315600</v>
      </c>
      <c r="M314" s="167">
        <f ca="1">IFERROR(__xludf.DUMMYFUNCTION("IMPORTRANGE(""https://docs.google.com/spreadsheets/d/1Yj_ptqi66GCucihVvJfMjLAmec39IyEx_6qawtMGysU/edit?usp=sharing"",""สบก!DC22"")"),157800)</f>
        <v>157800</v>
      </c>
      <c r="N314" s="168">
        <f ca="1">IFERROR(__xludf.DUMMYFUNCTION("IMPORTRANGE(""https://docs.google.com/spreadsheets/d/1Yj_ptqi66GCucihVvJfMjLAmec39IyEx_6qawtMGysU/edit?usp=sharing"",""สบก!DD22"")"),81548)</f>
        <v>81548</v>
      </c>
      <c r="O314" s="168">
        <f ca="1">IF(L314&gt;0,N314*100/L314,0)</f>
        <v>25.839036755386566</v>
      </c>
      <c r="P314" s="168">
        <f ca="1">IF(M314&gt;0,N314*100/M314,0)</f>
        <v>51.678073510773132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IFERROR(__xludf.DUMMYFUNCTION("IMPORTRANGE(""https://docs.google.com/spreadsheets/d/1Yj_ptqi66GCucihVvJfMjLAmec39IyEx_6qawtMGysU/edit?usp=sharing"",""สบก!CY22"")"),0)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IFERROR(__xludf.DUMMYFUNCTION("IMPORTRANGE(""https://docs.google.com/spreadsheets/d/1Yj_ptqi66GCucihVvJfMjLAmec39IyEx_6qawtMGysU/edit?usp=sharing"",""สบก!CZ22"")"),315600)</f>
        <v>315600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IFERROR(__xludf.DUMMYFUNCTION("IMPORTRANGE(""https://docs.google.com/spreadsheets/d/1Yj_ptqi66GCucihVvJfMjLAmec39IyEx_6qawtMGysU/edit?usp=sharing"",""สบก!DA22"")"),0)</f>
        <v>0</v>
      </c>
      <c r="M318" s="49"/>
      <c r="N318" s="49">
        <f ca="1">IFERROR(__xludf.DUMMYFUNCTION("IMPORTRANGE(""https://docs.google.com/spreadsheets/d/1Yj_ptqi66GCucihVvJfMjLAmec39IyEx_6qawtMGysU/edit?usp=sharing"",""สบก!DE22"")"),0)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IFERROR(__xludf.DUMMYFUNCTION("IMPORTRANGE(""https://docs.google.com/spreadsheets/d/11923uPwbBZFjjGgGUA6NLw09EwE0CqkOc4q9oUmW1yo/edit?usp=sharing"",""เชียงใหม่!J220"")"),0)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IFERROR(__xludf.DUMMYFUNCTION("IMPORTRANGE(""https://docs.google.com/spreadsheets/d/11923uPwbBZFjjGgGUA6NLw09EwE0CqkOc4q9oUmW1yo/edit?usp=sharing"",""เชียงใหม่!J221"")"),1)</f>
        <v>1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IFERROR(__xludf.DUMMYFUNCTION("IMPORTRANGE(""https://docs.google.com/spreadsheets/d/11923uPwbBZFjjGgGUA6NLw09EwE0CqkOc4q9oUmW1yo/edit?usp=sharing"",""เชียงใหม่!J222"")"),1)</f>
        <v>1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IFERROR(__xludf.DUMMYFUNCTION("IMPORTRANGE(""https://docs.google.com/spreadsheets/d/11923uPwbBZFjjGgGUA6NLw09EwE0CqkOc4q9oUmW1yo/edit?usp=sharing"",""เชียงใหม่!J223"")"),1)</f>
        <v>1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IFERROR(__xludf.DUMMYFUNCTION("IMPORTRANGE(""https://docs.google.com/spreadsheets/d/11923uPwbBZFjjGgGUA6NLw09EwE0CqkOc4q9oUmW1yo/edit?usp=sharing"",""เชียงใหม่!I224"")"),6)</f>
        <v>6</v>
      </c>
      <c r="J324" s="203">
        <f ca="1">IFERROR(__xludf.DUMMYFUNCTION("IMPORTRANGE(""https://docs.google.com/spreadsheets/d/11923uPwbBZFjjGgGUA6NLw09EwE0CqkOc4q9oUmW1yo/edit?usp=sharing"",""เชียงใหม่!J224"")"),2)</f>
        <v>2</v>
      </c>
      <c r="K324" s="223">
        <f ca="1">IF(I324&gt;0,J324*100/I324,0)</f>
        <v>33.333333333333336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IFERROR(__xludf.DUMMYFUNCTION("IMPORTRANGE(""https://docs.google.com/spreadsheets/d/11923uPwbBZFjjGgGUA6NLw09EwE0CqkOc4q9oUmW1yo/edit?usp=sharing"",""เชียงใหม่!J225"")"),0)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IFERROR(__xludf.DUMMYFUNCTION("IMPORTRANGE(""https://docs.google.com/spreadsheets/d/11923uPwbBZFjjGgGUA6NLw09EwE0CqkOc4q9oUmW1yo/edit?usp=sharing"",""เชียงใหม่!J226"")"),0)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IFERROR(__xludf.DUMMYFUNCTION("IMPORTRANGE(""https://docs.google.com/spreadsheets/d/11923uPwbBZFjjGgGUA6NLw09EwE0CqkOc4q9oUmW1yo/edit?usp=sharing"",""เชียงใหม่!I228"")"),315)</f>
        <v>315</v>
      </c>
      <c r="J328" s="337">
        <f ca="1">IFERROR(__xludf.DUMMYFUNCTION("IMPORTRANGE(""https://docs.google.com/spreadsheets/d/11923uPwbBZFjjGgGUA6NLw09EwE0CqkOc4q9oUmW1yo/edit?usp=sharing"",""เชียงใหม่!J228"")"),35)</f>
        <v>35</v>
      </c>
      <c r="K328" s="315">
        <f ca="1">IF(I328&gt;0,J328*100/I328,0)</f>
        <v>11.111111111111111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845280</v>
      </c>
      <c r="M329" s="151">
        <f t="shared" ca="1" si="98"/>
        <v>465290</v>
      </c>
      <c r="N329" s="151">
        <f t="shared" ca="1" si="98"/>
        <v>334322</v>
      </c>
      <c r="O329" s="150">
        <f t="shared" ref="O329:O331" ca="1" si="99">IF(L329&gt;0,N329*100/L329,0)</f>
        <v>39.55162786295665</v>
      </c>
      <c r="P329" s="150">
        <f t="shared" ref="P329:P331" ca="1" si="100">IF(M329&gt;0,N329*100/M329,0)</f>
        <v>71.852393131165513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845280</v>
      </c>
      <c r="M331" s="87">
        <f t="shared" ca="1" si="102"/>
        <v>465290</v>
      </c>
      <c r="N331" s="87">
        <f t="shared" ca="1" si="102"/>
        <v>334322</v>
      </c>
      <c r="O331" s="155">
        <f t="shared" ca="1" si="99"/>
        <v>39.55162786295665</v>
      </c>
      <c r="P331" s="155">
        <f t="shared" ca="1" si="100"/>
        <v>71.852393131165513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802280</v>
      </c>
      <c r="M333" s="167">
        <f ca="1">IFERROR(__xludf.DUMMYFUNCTION("IMPORTRANGE(""https://docs.google.com/spreadsheets/d/1Yj_ptqi66GCucihVvJfMjLAmec39IyEx_6qawtMGysU/edit?usp=sharing"",""สบก!DL22"")"),422290)</f>
        <v>422290</v>
      </c>
      <c r="N333" s="168">
        <f ca="1">IFERROR(__xludf.DUMMYFUNCTION("IMPORTRANGE(""https://docs.google.com/spreadsheets/d/1Yj_ptqi66GCucihVvJfMjLAmec39IyEx_6qawtMGysU/edit?usp=sharing"",""สบก!DM22"")"),291322)</f>
        <v>291322</v>
      </c>
      <c r="O333" s="168">
        <f ca="1">IF(L333&gt;0,N333*100/L333,0)</f>
        <v>36.311761479782618</v>
      </c>
      <c r="P333" s="168">
        <f ca="1">IF(M333&gt;0,N333*100/M333,0)</f>
        <v>68.986241682256264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IFERROR(__xludf.DUMMYFUNCTION("IMPORTRANGE(""https://docs.google.com/spreadsheets/d/1Yj_ptqi66GCucihVvJfMjLAmec39IyEx_6qawtMGysU/edit?usp=sharing"",""สบก!DH22"")"),471600)</f>
        <v>471600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IFERROR(__xludf.DUMMYFUNCTION("IMPORTRANGE(""https://docs.google.com/spreadsheets/d/1Yj_ptqi66GCucihVvJfMjLAmec39IyEx_6qawtMGysU/edit?usp=sharing"",""สบก!DI22"")"),330680)</f>
        <v>330680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IFERROR(__xludf.DUMMYFUNCTION("IMPORTRANGE(""https://docs.google.com/spreadsheets/d/1Yj_ptqi66GCucihVvJfMjLAmec39IyEx_6qawtMGysU/edit?usp=sharing"",""สบก!DJ22"")"),43000)</f>
        <v>43000</v>
      </c>
      <c r="M337" s="49">
        <f ca="1">L337</f>
        <v>43000</v>
      </c>
      <c r="N337" s="49">
        <f ca="1">IFERROR(__xludf.DUMMYFUNCTION("IMPORTRANGE(""https://docs.google.com/spreadsheets/d/1Yj_ptqi66GCucihVvJfMjLAmec39IyEx_6qawtMGysU/edit?usp=sharing"",""สบก!DN22"")"),43000)</f>
        <v>43000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IFERROR(__xludf.DUMMYFUNCTION("IMPORTRANGE(""https://docs.google.com/spreadsheets/d/11923uPwbBZFjjGgGUA6NLw09EwE0CqkOc4q9oUmW1yo/edit?usp=sharing"",""เชียงใหม่!I234"")"),0)</f>
        <v>0</v>
      </c>
      <c r="J339" s="187">
        <f ca="1">IFERROR(__xludf.DUMMYFUNCTION("IMPORTRANGE(""https://docs.google.com/spreadsheets/d/11923uPwbBZFjjGgGUA6NLw09EwE0CqkOc4q9oUmW1yo/edit?usp=sharing"",""เชียงใหม่!J234"")"),73)</f>
        <v>73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IFERROR(__xludf.DUMMYFUNCTION("IMPORTRANGE(""https://docs.google.com/spreadsheets/d/11923uPwbBZFjjGgGUA6NLw09EwE0CqkOc4q9oUmW1yo/edit?usp=sharing"",""เชียงใหม่!I235"")"),1060)</f>
        <v>1060</v>
      </c>
      <c r="J340" s="187">
        <f ca="1">IFERROR(__xludf.DUMMYFUNCTION("IMPORTRANGE(""https://docs.google.com/spreadsheets/d/11923uPwbBZFjjGgGUA6NLw09EwE0CqkOc4q9oUmW1yo/edit?usp=sharing"",""เชียงใหม่!J235"")"),246.79)</f>
        <v>246.79</v>
      </c>
      <c r="K340" s="340">
        <f t="shared" ca="1" si="103"/>
        <v>23.282075471698114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IFERROR(__xludf.DUMMYFUNCTION("IMPORTRANGE(""https://docs.google.com/spreadsheets/d/11923uPwbBZFjjGgGUA6NLw09EwE0CqkOc4q9oUmW1yo/edit?usp=sharing"",""เชียงใหม่!I236"")"),315)</f>
        <v>315</v>
      </c>
      <c r="J341" s="187">
        <f ca="1">IFERROR(__xludf.DUMMYFUNCTION("IMPORTRANGE(""https://docs.google.com/spreadsheets/d/11923uPwbBZFjjGgGUA6NLw09EwE0CqkOc4q9oUmW1yo/edit?usp=sharing"",""เชียงใหม่!J236"")"),84)</f>
        <v>84</v>
      </c>
      <c r="K341" s="340">
        <f t="shared" ca="1" si="103"/>
        <v>26.666666666666668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IFERROR(__xludf.DUMMYFUNCTION("IMPORTRANGE(""https://docs.google.com/spreadsheets/d/11923uPwbBZFjjGgGUA6NLw09EwE0CqkOc4q9oUmW1yo/edit?usp=sharing"",""เชียงใหม่!I237"")"),0)</f>
        <v>0</v>
      </c>
      <c r="J342" s="187">
        <f ca="1">IFERROR(__xludf.DUMMYFUNCTION("IMPORTRANGE(""https://docs.google.com/spreadsheets/d/11923uPwbBZFjjGgGUA6NLw09EwE0CqkOc4q9oUmW1yo/edit?usp=sharing"",""เชียงใหม่!J237"")"),367.97)</f>
        <v>367.97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IFERROR(__xludf.DUMMYFUNCTION("IMPORTRANGE(""https://docs.google.com/spreadsheets/d/11923uPwbBZFjjGgGUA6NLw09EwE0CqkOc4q9oUmW1yo/edit?usp=sharing"",""เชียงใหม่!I238"")"),315)</f>
        <v>315</v>
      </c>
      <c r="J343" s="187">
        <f ca="1">IFERROR(__xludf.DUMMYFUNCTION("IMPORTRANGE(""https://docs.google.com/spreadsheets/d/11923uPwbBZFjjGgGUA6NLw09EwE0CqkOc4q9oUmW1yo/edit?usp=sharing"",""เชียงใหม่!J238"")"),0)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IFERROR(__xludf.DUMMYFUNCTION("IMPORTRANGE(""https://docs.google.com/spreadsheets/d/11923uPwbBZFjjGgGUA6NLw09EwE0CqkOc4q9oUmW1yo/edit?usp=sharing"",""เชียงใหม่!I239"")"),0)</f>
        <v>0</v>
      </c>
      <c r="J344" s="187">
        <f ca="1">IFERROR(__xludf.DUMMYFUNCTION("IMPORTRANGE(""https://docs.google.com/spreadsheets/d/11923uPwbBZFjjGgGUA6NLw09EwE0CqkOc4q9oUmW1yo/edit?usp=sharing"",""เชียงใหม่!J239"")"),0)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IFERROR(__xludf.DUMMYFUNCTION("IMPORTRANGE(""https://docs.google.com/spreadsheets/d/11923uPwbBZFjjGgGUA6NLw09EwE0CqkOc4q9oUmW1yo/edit?usp=sharing"",""เชียงใหม่!I240"")"),315)</f>
        <v>315</v>
      </c>
      <c r="J345" s="187">
        <f ca="1">IFERROR(__xludf.DUMMYFUNCTION("IMPORTRANGE(""https://docs.google.com/spreadsheets/d/11923uPwbBZFjjGgGUA6NLw09EwE0CqkOc4q9oUmW1yo/edit?usp=sharing"",""เชียงใหม่!J240"")"),35)</f>
        <v>35</v>
      </c>
      <c r="K345" s="340">
        <f t="shared" ca="1" si="103"/>
        <v>11.111111111111111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IFERROR(__xludf.DUMMYFUNCTION("IMPORTRANGE(""https://docs.google.com/spreadsheets/d/11923uPwbBZFjjGgGUA6NLw09EwE0CqkOc4q9oUmW1yo/edit?usp=sharing"",""เชียงใหม่!I241"")"),0)</f>
        <v>0</v>
      </c>
      <c r="J346" s="187">
        <f ca="1">IFERROR(__xludf.DUMMYFUNCTION("IMPORTRANGE(""https://docs.google.com/spreadsheets/d/11923uPwbBZFjjGgGUA6NLw09EwE0CqkOc4q9oUmW1yo/edit?usp=sharing"",""เชียงใหม่!J241"")"),205.07)</f>
        <v>205.07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IFERROR(__xludf.DUMMYFUNCTION("IMPORTRANGE(""https://docs.google.com/spreadsheets/d/11923uPwbBZFjjGgGUA6NLw09EwE0CqkOc4q9oUmW1yo/edit?usp=sharing"",""เชียงใหม่!L242"")"),2635279)</f>
        <v>2635279</v>
      </c>
      <c r="M347" s="356"/>
      <c r="N347" s="356">
        <f ca="1">IFERROR(__xludf.DUMMYFUNCTION("IMPORTRANGE(""https://docs.google.com/spreadsheets/d/11923uPwbBZFjjGgGUA6NLw09EwE0CqkOc4q9oUmW1yo/edit?usp=sharing"",""เชียงใหม่!M242"")"),688938.28)</f>
        <v>688938.28</v>
      </c>
      <c r="O347" s="356">
        <f ca="1">+IF(L347&gt;0,N347*100/L347,0)</f>
        <v>26.142897203673691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IFERROR(__xludf.DUMMYFUNCTION("IMPORTRANGE(""https://docs.google.com/spreadsheets/d/11923uPwbBZFjjGgGUA6NLw09EwE0CqkOc4q9oUmW1yo/edit?usp=sharing"",""เชียงใหม่!I244"")"),100)</f>
        <v>100</v>
      </c>
      <c r="J349" s="369">
        <f ca="1">IFERROR(__xludf.DUMMYFUNCTION("IMPORTRANGE(""https://docs.google.com/spreadsheets/d/11923uPwbBZFjjGgGUA6NLw09EwE0CqkOc4q9oUmW1yo/edit?usp=sharing"",""เชียงใหม่!J244"")"),0)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IFERROR(__xludf.DUMMYFUNCTION("IMPORTRANGE(""https://docs.google.com/spreadsheets/d/11923uPwbBZFjjGgGUA6NLw09EwE0CqkOc4q9oUmW1yo/edit?usp=sharing"",""เชียงใหม่!L244"")"),317760)</f>
        <v>317760</v>
      </c>
      <c r="M349" s="371"/>
      <c r="N349" s="371">
        <f ca="1">IFERROR(__xludf.DUMMYFUNCTION("IMPORTRANGE(""https://docs.google.com/spreadsheets/d/11923uPwbBZFjjGgGUA6NLw09EwE0CqkOc4q9oUmW1yo/edit?usp=sharing"",""เชียงใหม่!M244"")"),108972.58)</f>
        <v>108972.58</v>
      </c>
      <c r="O349" s="371">
        <f ca="1">+IF(L349&gt;0,N349*100/L349,0)</f>
        <v>34.29398917421954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IFERROR(__xludf.DUMMYFUNCTION("IMPORTRANGE(""https://docs.google.com/spreadsheets/d/11923uPwbBZFjjGgGUA6NLw09EwE0CqkOc4q9oUmW1yo/edit?usp=sharing"",""เชียงใหม่!I245"")"),40)</f>
        <v>40</v>
      </c>
      <c r="J350" s="369">
        <f ca="1">IFERROR(__xludf.DUMMYFUNCTION("IMPORTRANGE(""https://docs.google.com/spreadsheets/d/11923uPwbBZFjjGgGUA6NLw09EwE0CqkOc4q9oUmW1yo/edit?usp=sharing"",""เชียงใหม่!J245"")"),40)</f>
        <v>40</v>
      </c>
      <c r="K350" s="370">
        <f t="shared" ca="1" si="104"/>
        <v>100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IFERROR(__xludf.DUMMYFUNCTION("IMPORTRANGE(""https://docs.google.com/spreadsheets/d/11923uPwbBZFjjGgGUA6NLw09EwE0CqkOc4q9oUmW1yo/edit?usp=sharing"",""เชียงใหม่!L246"")"),0)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IFERROR(__xludf.DUMMYFUNCTION("IMPORTRANGE(""https://docs.google.com/spreadsheets/d/11923uPwbBZFjjGgGUA6NLw09EwE0CqkOc4q9oUmW1yo/edit?usp=sharing"",""เชียงใหม่!M246"")"),0)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IFERROR(__xludf.DUMMYFUNCTION("IMPORTRANGE(""https://docs.google.com/spreadsheets/d/11923uPwbBZFjjGgGUA6NLw09EwE0CqkOc4q9oUmW1yo/edit?usp=sharing"",""เชียงใหม่!L247"")"),317760)</f>
        <v>317760</v>
      </c>
      <c r="M352" s="165"/>
      <c r="N352" s="164">
        <f ca="1">IFERROR(__xludf.DUMMYFUNCTION("IMPORTRANGE(""https://docs.google.com/spreadsheets/d/11923uPwbBZFjjGgGUA6NLw09EwE0CqkOc4q9oUmW1yo/edit?usp=sharing"",""เชียงใหม่!M247"")"),108972.58)</f>
        <v>108972.58</v>
      </c>
      <c r="O352" s="165">
        <f t="shared" ca="1" si="105"/>
        <v>34.29398917421954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IFERROR(__xludf.DUMMYFUNCTION("IMPORTRANGE(""https://docs.google.com/spreadsheets/d/11923uPwbBZFjjGgGUA6NLw09EwE0CqkOc4q9oUmW1yo/edit?usp=sharing"",""เชียงใหม่!L248"")"),0)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IFERROR(__xludf.DUMMYFUNCTION("IMPORTRANGE(""https://docs.google.com/spreadsheets/d/11923uPwbBZFjjGgGUA6NLw09EwE0CqkOc4q9oUmW1yo/edit?usp=sharing"",""เชียงใหม่!M248"")"),0)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IFERROR(__xludf.DUMMYFUNCTION("IMPORTRANGE(""https://docs.google.com/spreadsheets/d/11923uPwbBZFjjGgGUA6NLw09EwE0CqkOc4q9oUmW1yo/edit?usp=sharing"",""เชียงใหม่!L249"")"),317760)</f>
        <v>317760</v>
      </c>
      <c r="M354" s="168"/>
      <c r="N354" s="167">
        <f ca="1">IFERROR(__xludf.DUMMYFUNCTION("IMPORTRANGE(""https://docs.google.com/spreadsheets/d/11923uPwbBZFjjGgGUA6NLw09EwE0CqkOc4q9oUmW1yo/edit?usp=sharing"",""เชียงใหม่!M249"")"),108972.58)</f>
        <v>108972.58</v>
      </c>
      <c r="O354" s="168">
        <f t="shared" ca="1" si="105"/>
        <v>34.29398917421954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IFERROR(__xludf.DUMMYFUNCTION("IMPORTRANGE(""https://docs.google.com/spreadsheets/d/11923uPwbBZFjjGgGUA6NLw09EwE0CqkOc4q9oUmW1yo/edit?usp=sharing"",""เชียงใหม่!M250"")"),50400)</f>
        <v>50400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IFERROR(__xludf.DUMMYFUNCTION("IMPORTRANGE(""https://docs.google.com/spreadsheets/d/11923uPwbBZFjjGgGUA6NLw09EwE0CqkOc4q9oUmW1yo/edit?usp=sharing"",""เชียงใหม่!M251"")"),0)</f>
        <v>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IFERROR(__xludf.DUMMYFUNCTION("IMPORTRANGE(""https://docs.google.com/spreadsheets/d/11923uPwbBZFjjGgGUA6NLw09EwE0CqkOc4q9oUmW1yo/edit?usp=sharing"",""เชียงใหม่!M252"")"),53225.58)</f>
        <v>53225.58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IFERROR(__xludf.DUMMYFUNCTION("IMPORTRANGE(""https://docs.google.com/spreadsheets/d/11923uPwbBZFjjGgGUA6NLw09EwE0CqkOc4q9oUmW1yo/edit?usp=sharing"",""เชียงใหม่!M253"")"),5347)</f>
        <v>5347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IFERROR(__xludf.DUMMYFUNCTION("IMPORTRANGE(""https://docs.google.com/spreadsheets/d/11923uPwbBZFjjGgGUA6NLw09EwE0CqkOc4q9oUmW1yo/edit?usp=sharing"",""เชียงใหม่!J255"")"),0)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IFERROR(__xludf.DUMMYFUNCTION("IMPORTRANGE(""https://docs.google.com/spreadsheets/d/11923uPwbBZFjjGgGUA6NLw09EwE0CqkOc4q9oUmW1yo/edit?usp=sharing"",""เชียงใหม่!J256"")"),1)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IFERROR(__xludf.DUMMYFUNCTION("IMPORTRANGE(""https://docs.google.com/spreadsheets/d/11923uPwbBZFjjGgGUA6NLw09EwE0CqkOc4q9oUmW1yo/edit?usp=sharing"",""เชียงใหม่!J257"")"),1)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IFERROR(__xludf.DUMMYFUNCTION("IMPORTRANGE(""https://docs.google.com/spreadsheets/d/11923uPwbBZFjjGgGUA6NLw09EwE0CqkOc4q9oUmW1yo/edit?usp=sharing"",""เชียงใหม่!J258"")"),1)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IFERROR(__xludf.DUMMYFUNCTION("IMPORTRANGE(""https://docs.google.com/spreadsheets/d/11923uPwbBZFjjGgGUA6NLw09EwE0CqkOc4q9oUmW1yo/edit?usp=sharing"",""เชียงใหม่!J166"")"),0)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IFERROR(__xludf.DUMMYFUNCTION("IMPORTRANGE(""https://docs.google.com/spreadsheets/d/11923uPwbBZFjjGgGUA6NLw09EwE0CqkOc4q9oUmW1yo/edit?usp=sharing"",""เชียงใหม่!J166"")"),0)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IFERROR(__xludf.DUMMYFUNCTION("IMPORTRANGE(""https://docs.google.com/spreadsheets/d/11923uPwbBZFjjGgGUA6NLw09EwE0CqkOc4q9oUmW1yo/edit?usp=sharing"",""เชียงใหม่!J166"")"),0)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IFERROR(__xludf.DUMMYFUNCTION("IMPORTRANGE(""https://docs.google.com/spreadsheets/d/11923uPwbBZFjjGgGUA6NLw09EwE0CqkOc4q9oUmW1yo/edit?usp=sharing"",""เชียงใหม่!J166"")"),0)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IFERROR(__xludf.DUMMYFUNCTION("IMPORTRANGE(""https://docs.google.com/spreadsheets/d/11923uPwbBZFjjGgGUA6NLw09EwE0CqkOc4q9oUmW1yo/edit?usp=sharing"",""เชียงใหม่!I263"")"),40)</f>
        <v>40</v>
      </c>
      <c r="J368" s="187">
        <f ca="1">IFERROR(__xludf.DUMMYFUNCTION("IMPORTRANGE(""https://docs.google.com/spreadsheets/d/11923uPwbBZFjjGgGUA6NLw09EwE0CqkOc4q9oUmW1yo/edit?usp=sharing"",""เชียงใหม่!J263"")"),40)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IFERROR(__xludf.DUMMYFUNCTION("IMPORTRANGE(""https://docs.google.com/spreadsheets/d/11923uPwbBZFjjGgGUA6NLw09EwE0CqkOc4q9oUmW1yo/edit?usp=sharing"",""เชียงใหม่!I164"")"),0)</f>
        <v>0</v>
      </c>
      <c r="J369" s="203">
        <f ca="1">IFERROR(__xludf.DUMMYFUNCTION("IMPORTRANGE(""https://docs.google.com/spreadsheets/d/11923uPwbBZFjjGgGUA6NLw09EwE0CqkOc4q9oUmW1yo/edit?usp=sharing"",""เชียงใหม่!J164"")"),0)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IFERROR(__xludf.DUMMYFUNCTION("IMPORTRANGE(""https://docs.google.com/spreadsheets/d/11923uPwbBZFjjGgGUA6NLw09EwE0CqkOc4q9oUmW1yo/edit?usp=sharing"",""เชียงใหม่!I265"")"),40)</f>
        <v>40</v>
      </c>
      <c r="J370" s="203">
        <f ca="1">IFERROR(__xludf.DUMMYFUNCTION("IMPORTRANGE(""https://docs.google.com/spreadsheets/d/11923uPwbBZFjjGgGUA6NLw09EwE0CqkOc4q9oUmW1yo/edit?usp=sharing"",""เชียงใหม่!J265"")"),40)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IFERROR(__xludf.DUMMYFUNCTION("IMPORTRANGE(""https://docs.google.com/spreadsheets/d/11923uPwbBZFjjGgGUA6NLw09EwE0CqkOc4q9oUmW1yo/edit?usp=sharing"",""เชียงใหม่!I164"")"),0)</f>
        <v>0</v>
      </c>
      <c r="J371" s="188">
        <f ca="1">IFERROR(__xludf.DUMMYFUNCTION("IMPORTRANGE(""https://docs.google.com/spreadsheets/d/11923uPwbBZFjjGgGUA6NLw09EwE0CqkOc4q9oUmW1yo/edit?usp=sharing"",""เชียงใหม่!J164"")"),0)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IFERROR(__xludf.DUMMYFUNCTION("IMPORTRANGE(""https://docs.google.com/spreadsheets/d/11923uPwbBZFjjGgGUA6NLw09EwE0CqkOc4q9oUmW1yo/edit?usp=sharing"",""เชียงใหม่!I267"")"),40)</f>
        <v>40</v>
      </c>
      <c r="J372" s="188">
        <f ca="1">IFERROR(__xludf.DUMMYFUNCTION("IMPORTRANGE(""https://docs.google.com/spreadsheets/d/11923uPwbBZFjjGgGUA6NLw09EwE0CqkOc4q9oUmW1yo/edit?usp=sharing"",""เชียงใหม่!J267"")"),40)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IFERROR(__xludf.DUMMYFUNCTION("IMPORTRANGE(""https://docs.google.com/spreadsheets/d/11923uPwbBZFjjGgGUA6NLw09EwE0CqkOc4q9oUmW1yo/edit?usp=sharing"",""เชียงใหม่!I164"")"),0)</f>
        <v>0</v>
      </c>
      <c r="J373" s="203">
        <f ca="1">IFERROR(__xludf.DUMMYFUNCTION("IMPORTRANGE(""https://docs.google.com/spreadsheets/d/11923uPwbBZFjjGgGUA6NLw09EwE0CqkOc4q9oUmW1yo/edit?usp=sharing"",""เชียงใหม่!J164"")"),0)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IFERROR(__xludf.DUMMYFUNCTION("IMPORTRANGE(""https://docs.google.com/spreadsheets/d/11923uPwbBZFjjGgGUA6NLw09EwE0CqkOc4q9oUmW1yo/edit?usp=sharing"",""เชียงใหม่!I164"")"),0)</f>
        <v>0</v>
      </c>
      <c r="J374" s="187">
        <f ca="1">IFERROR(__xludf.DUMMYFUNCTION("IMPORTRANGE(""https://docs.google.com/spreadsheets/d/11923uPwbBZFjjGgGUA6NLw09EwE0CqkOc4q9oUmW1yo/edit?usp=sharing"",""เชียงใหม่!J164"")"),0)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IFERROR(__xludf.DUMMYFUNCTION("IMPORTRANGE(""https://docs.google.com/spreadsheets/d/11923uPwbBZFjjGgGUA6NLw09EwE0CqkOc4q9oUmW1yo/edit?usp=sharing"",""เชียงใหม่!I270"")"),100)</f>
        <v>100</v>
      </c>
      <c r="J375" s="187">
        <f ca="1">IFERROR(__xludf.DUMMYFUNCTION("IMPORTRANGE(""https://docs.google.com/spreadsheets/d/11923uPwbBZFjjGgGUA6NLw09EwE0CqkOc4q9oUmW1yo/edit?usp=sharing"",""เชียงใหม่!J270"")"),0)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IFERROR(__xludf.DUMMYFUNCTION("IMPORTRANGE(""https://docs.google.com/spreadsheets/d/11923uPwbBZFjjGgGUA6NLw09EwE0CqkOc4q9oUmW1yo/edit?usp=sharing"",""เชียงใหม่!I271"")"),32)</f>
        <v>32</v>
      </c>
      <c r="J376" s="188">
        <f ca="1">IFERROR(__xludf.DUMMYFUNCTION("IMPORTRANGE(""https://docs.google.com/spreadsheets/d/11923uPwbBZFjjGgGUA6NLw09EwE0CqkOc4q9oUmW1yo/edit?usp=sharing"",""เชียงใหม่!J271"")"),0)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IFERROR(__xludf.DUMMYFUNCTION("IMPORTRANGE(""https://docs.google.com/spreadsheets/d/11923uPwbBZFjjGgGUA6NLw09EwE0CqkOc4q9oUmW1yo/edit?usp=sharing"",""เชียงใหม่!I272"")"),68)</f>
        <v>68</v>
      </c>
      <c r="J377" s="203">
        <f ca="1">IFERROR(__xludf.DUMMYFUNCTION("IMPORTRANGE(""https://docs.google.com/spreadsheets/d/11923uPwbBZFjjGgGUA6NLw09EwE0CqkOc4q9oUmW1yo/edit?usp=sharing"",""เชียงใหม่!J272"")"),0)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IFERROR(__xludf.DUMMYFUNCTION("IMPORTRANGE(""https://docs.google.com/spreadsheets/d/11923uPwbBZFjjGgGUA6NLw09EwE0CqkOc4q9oUmW1yo/edit?usp=sharing"",""เชียงใหม่!J273"")"),0)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IFERROR(__xludf.DUMMYFUNCTION("IMPORTRANGE(""https://docs.google.com/spreadsheets/d/11923uPwbBZFjjGgGUA6NLw09EwE0CqkOc4q9oUmW1yo/edit?usp=sharing"",""เชียงใหม่!J274"")"),0)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IFERROR(__xludf.DUMMYFUNCTION("IMPORTRANGE(""https://docs.google.com/spreadsheets/d/11923uPwbBZFjjGgGUA6NLw09EwE0CqkOc4q9oUmW1yo/edit?usp=sharing"",""เชียงใหม่!I275"")"),1000)</f>
        <v>1000</v>
      </c>
      <c r="J380" s="369">
        <f ca="1">IFERROR(__xludf.DUMMYFUNCTION("IMPORTRANGE(""https://docs.google.com/spreadsheets/d/11923uPwbBZFjjGgGUA6NLw09EwE0CqkOc4q9oUmW1yo/edit?usp=sharing"",""เชียงใหม่!J275"")"),0)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IFERROR(__xludf.DUMMYFUNCTION("IMPORTRANGE(""https://docs.google.com/spreadsheets/d/11923uPwbBZFjjGgGUA6NLw09EwE0CqkOc4q9oUmW1yo/edit?usp=sharing"",""เชียงใหม่!L275"")"),1028520)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IFERROR(__xludf.DUMMYFUNCTION("IMPORTRANGE(""https://docs.google.com/spreadsheets/d/11923uPwbBZFjjGgGUA6NLw09EwE0CqkOc4q9oUmW1yo/edit?usp=sharing"",""เชียงใหม่!M275"")"),149225.58)</f>
        <v>149225.57999999999</v>
      </c>
      <c r="O380" s="371">
        <f ca="1">+IF(L380&gt;0,N380*100/L380,0)</f>
        <v>14.508767938396918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IFERROR(__xludf.DUMMYFUNCTION("IMPORTRANGE(""https://docs.google.com/spreadsheets/d/11923uPwbBZFjjGgGUA6NLw09EwE0CqkOc4q9oUmW1yo/edit?usp=sharing"",""เชียงใหม่!I276"")"),100)</f>
        <v>100</v>
      </c>
      <c r="J381" s="369">
        <f ca="1">IFERROR(__xludf.DUMMYFUNCTION("IMPORTRANGE(""https://docs.google.com/spreadsheets/d/11923uPwbBZFjjGgGUA6NLw09EwE0CqkOc4q9oUmW1yo/edit?usp=sharing"",""เชียงใหม่!J276"")"),100)</f>
        <v>100</v>
      </c>
      <c r="K381" s="370">
        <f t="shared" ca="1" si="108"/>
        <v>100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IFERROR(__xludf.DUMMYFUNCTION("IMPORTRANGE(""https://docs.google.com/spreadsheets/d/11923uPwbBZFjjGgGUA6NLw09EwE0CqkOc4q9oUmW1yo/edit?usp=sharing"",""เชียงใหม่!L277"")"),0)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IFERROR(__xludf.DUMMYFUNCTION("IMPORTRANGE(""https://docs.google.com/spreadsheets/d/11923uPwbBZFjjGgGUA6NLw09EwE0CqkOc4q9oUmW1yo/edit?usp=sharing"",""เชียงใหม่!M277"")"),0)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IFERROR(__xludf.DUMMYFUNCTION("IMPORTRANGE(""https://docs.google.com/spreadsheets/d/11923uPwbBZFjjGgGUA6NLw09EwE0CqkOc4q9oUmW1yo/edit?usp=sharing"",""เชียงใหม่!L278"")"),1028520)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IFERROR(__xludf.DUMMYFUNCTION("IMPORTRANGE(""https://docs.google.com/spreadsheets/d/11923uPwbBZFjjGgGUA6NLw09EwE0CqkOc4q9oUmW1yo/edit?usp=sharing"",""เชียงใหม่!M278"")"),149225.58)</f>
        <v>149225.57999999999</v>
      </c>
      <c r="O383" s="165">
        <f t="shared" ca="1" si="109"/>
        <v>14.508767938396918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IFERROR(__xludf.DUMMYFUNCTION("IMPORTRANGE(""https://docs.google.com/spreadsheets/d/11923uPwbBZFjjGgGUA6NLw09EwE0CqkOc4q9oUmW1yo/edit?usp=sharing"",""เชียงใหม่!L279"")"),0)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IFERROR(__xludf.DUMMYFUNCTION("IMPORTRANGE(""https://docs.google.com/spreadsheets/d/11923uPwbBZFjjGgGUA6NLw09EwE0CqkOc4q9oUmW1yo/edit?usp=sharing"",""เชียงใหม่!M279"")"),0)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IFERROR(__xludf.DUMMYFUNCTION("IMPORTRANGE(""https://docs.google.com/spreadsheets/d/11923uPwbBZFjjGgGUA6NLw09EwE0CqkOc4q9oUmW1yo/edit?usp=sharing"",""เชียงใหม่!L280"")"),1028520)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IFERROR(__xludf.DUMMYFUNCTION("IMPORTRANGE(""https://docs.google.com/spreadsheets/d/11923uPwbBZFjjGgGUA6NLw09EwE0CqkOc4q9oUmW1yo/edit?usp=sharing"",""เชียงใหม่!M280"")"),149225.58)</f>
        <v>149225.57999999999</v>
      </c>
      <c r="O385" s="168">
        <f t="shared" ca="1" si="109"/>
        <v>14.508767938396918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IFERROR(__xludf.DUMMYFUNCTION("IMPORTRANGE(""https://docs.google.com/spreadsheets/d/11923uPwbBZFjjGgGUA6NLw09EwE0CqkOc4q9oUmW1yo/edit?usp=sharing"",""เชียงใหม่!M281"")"),92440)</f>
        <v>92440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IFERROR(__xludf.DUMMYFUNCTION("IMPORTRANGE(""https://docs.google.com/spreadsheets/d/11923uPwbBZFjjGgGUA6NLw09EwE0CqkOc4q9oUmW1yo/edit?usp=sharing"",""เชียงใหม่!M282"")"),0)</f>
        <v>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IFERROR(__xludf.DUMMYFUNCTION("IMPORTRANGE(""https://docs.google.com/spreadsheets/d/11923uPwbBZFjjGgGUA6NLw09EwE0CqkOc4q9oUmW1yo/edit?usp=sharing"",""เชียงใหม่!M283"")"),53225.58)</f>
        <v>53225.58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IFERROR(__xludf.DUMMYFUNCTION("IMPORTRANGE(""https://docs.google.com/spreadsheets/d/11923uPwbBZFjjGgGUA6NLw09EwE0CqkOc4q9oUmW1yo/edit?usp=sharing"",""เชียงใหม่!M284"")"),3560)</f>
        <v>3560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IFERROR(__xludf.DUMMYFUNCTION("IMPORTRANGE(""https://docs.google.com/spreadsheets/d/11923uPwbBZFjjGgGUA6NLw09EwE0CqkOc4q9oUmW1yo/edit?usp=sharing"",""เชียงใหม่!J286"")"),0)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IFERROR(__xludf.DUMMYFUNCTION("IMPORTRANGE(""https://docs.google.com/spreadsheets/d/11923uPwbBZFjjGgGUA6NLw09EwE0CqkOc4q9oUmW1yo/edit?usp=sharing"",""เชียงใหม่!J287"")"),1)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IFERROR(__xludf.DUMMYFUNCTION("IMPORTRANGE(""https://docs.google.com/spreadsheets/d/11923uPwbBZFjjGgGUA6NLw09EwE0CqkOc4q9oUmW1yo/edit?usp=sharing"",""เชียงใหม่!J288"")"),1)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IFERROR(__xludf.DUMMYFUNCTION("IMPORTRANGE(""https://docs.google.com/spreadsheets/d/11923uPwbBZFjjGgGUA6NLw09EwE0CqkOc4q9oUmW1yo/edit?usp=sharing"",""เชียงใหม่!J289"")"),1)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IFERROR(__xludf.DUMMYFUNCTION("IMPORTRANGE(""https://docs.google.com/spreadsheets/d/11923uPwbBZFjjGgGUA6NLw09EwE0CqkOc4q9oUmW1yo/edit?usp=sharing"",""เชียงใหม่!I291"")"),100)</f>
        <v>100</v>
      </c>
      <c r="J396" s="197">
        <f ca="1">IFERROR(__xludf.DUMMYFUNCTION("IMPORTRANGE(""https://docs.google.com/spreadsheets/d/11923uPwbBZFjjGgGUA6NLw09EwE0CqkOc4q9oUmW1yo/edit?usp=sharing"",""เชียงใหม่!J291"")"),100)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IFERROR(__xludf.DUMMYFUNCTION("IMPORTRANGE(""https://docs.google.com/spreadsheets/d/11923uPwbBZFjjGgGUA6NLw09EwE0CqkOc4q9oUmW1yo/edit?usp=sharing"",""เชียงใหม่!I292"")"),1000)</f>
        <v>1000</v>
      </c>
      <c r="J397" s="197">
        <f ca="1">IFERROR(__xludf.DUMMYFUNCTION("IMPORTRANGE(""https://docs.google.com/spreadsheets/d/11923uPwbBZFjjGgGUA6NLw09EwE0CqkOc4q9oUmW1yo/edit?usp=sharing"",""เชียงใหม่!J292"")"),0)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IFERROR(__xludf.DUMMYFUNCTION("IMPORTRANGE(""https://docs.google.com/spreadsheets/d/11923uPwbBZFjjGgGUA6NLw09EwE0CqkOc4q9oUmW1yo/edit?usp=sharing"",""เชียงใหม่!I293"")"),100)</f>
        <v>100</v>
      </c>
      <c r="J398" s="197">
        <f ca="1">IFERROR(__xludf.DUMMYFUNCTION("IMPORTRANGE(""https://docs.google.com/spreadsheets/d/11923uPwbBZFjjGgGUA6NLw09EwE0CqkOc4q9oUmW1yo/edit?usp=sharing"",""เชียงใหม่!J293"")"),0)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IFERROR(__xludf.DUMMYFUNCTION("IMPORTRANGE(""https://docs.google.com/spreadsheets/d/11923uPwbBZFjjGgGUA6NLw09EwE0CqkOc4q9oUmW1yo/edit?usp=sharing"",""เชียงใหม่!J294"")"),0)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IFERROR(__xludf.DUMMYFUNCTION("IMPORTRANGE(""https://docs.google.com/spreadsheets/d/11923uPwbBZFjjGgGUA6NLw09EwE0CqkOc4q9oUmW1yo/edit?usp=sharing"",""เชียงใหม่!J295"")"),0)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IFERROR(__xludf.DUMMYFUNCTION("IMPORTRANGE(""https://docs.google.com/spreadsheets/d/11923uPwbBZFjjGgGUA6NLw09EwE0CqkOc4q9oUmW1yo/edit?usp=sharing"",""เชียงใหม่!I296"")"),105)</f>
        <v>105</v>
      </c>
      <c r="J401" s="369">
        <f ca="1">IFERROR(__xludf.DUMMYFUNCTION("IMPORTRANGE(""https://docs.google.com/spreadsheets/d/11923uPwbBZFjjGgGUA6NLw09EwE0CqkOc4q9oUmW1yo/edit?usp=sharing"",""เชียงใหม่!J296"")"),105)</f>
        <v>105</v>
      </c>
      <c r="K401" s="370">
        <f t="shared" ref="K401:K402" ca="1" si="111">IF(I401&gt;0,J401*100/I401,0)</f>
        <v>100</v>
      </c>
      <c r="L401" s="371">
        <f ca="1">IFERROR(__xludf.DUMMYFUNCTION("IMPORTRANGE(""https://docs.google.com/spreadsheets/d/11923uPwbBZFjjGgGUA6NLw09EwE0CqkOc4q9oUmW1yo/edit?usp=sharing"",""เชียงใหม่!L296"")"),131710)</f>
        <v>131710</v>
      </c>
      <c r="M401" s="371"/>
      <c r="N401" s="371">
        <f ca="1">IFERROR(__xludf.DUMMYFUNCTION("IMPORTRANGE(""https://docs.google.com/spreadsheets/d/11923uPwbBZFjjGgGUA6NLw09EwE0CqkOc4q9oUmW1yo/edit?usp=sharing"",""เชียงใหม่!M296"")"),87215)</f>
        <v>87215</v>
      </c>
      <c r="O401" s="371">
        <f ca="1">+IF(L401&gt;0,N401*100/L401,0)</f>
        <v>66.217447422367329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IFERROR(__xludf.DUMMYFUNCTION("IMPORTRANGE(""https://docs.google.com/spreadsheets/d/11923uPwbBZFjjGgGUA6NLw09EwE0CqkOc4q9oUmW1yo/edit?usp=sharing"",""เชียงใหม่!I297"")"),35)</f>
        <v>35</v>
      </c>
      <c r="J402" s="369">
        <f ca="1">IFERROR(__xludf.DUMMYFUNCTION("IMPORTRANGE(""https://docs.google.com/spreadsheets/d/11923uPwbBZFjjGgGUA6NLw09EwE0CqkOc4q9oUmW1yo/edit?usp=sharing"",""เชียงใหม่!J297"")"),35)</f>
        <v>35</v>
      </c>
      <c r="K402" s="370">
        <f t="shared" ca="1" si="111"/>
        <v>100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IFERROR(__xludf.DUMMYFUNCTION("IMPORTRANGE(""https://docs.google.com/spreadsheets/d/11923uPwbBZFjjGgGUA6NLw09EwE0CqkOc4q9oUmW1yo/edit?usp=sharing"",""เชียงใหม่!L298"")"),0)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IFERROR(__xludf.DUMMYFUNCTION("IMPORTRANGE(""https://docs.google.com/spreadsheets/d/11923uPwbBZFjjGgGUA6NLw09EwE0CqkOc4q9oUmW1yo/edit?usp=sharing"",""เชียงใหม่!M298"")"),0)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IFERROR(__xludf.DUMMYFUNCTION("IMPORTRANGE(""https://docs.google.com/spreadsheets/d/11923uPwbBZFjjGgGUA6NLw09EwE0CqkOc4q9oUmW1yo/edit?usp=sharing"",""เชียงใหม่!L299"")"),131710)</f>
        <v>131710</v>
      </c>
      <c r="M404" s="165"/>
      <c r="N404" s="168">
        <f ca="1">IFERROR(__xludf.DUMMYFUNCTION("IMPORTRANGE(""https://docs.google.com/spreadsheets/d/11923uPwbBZFjjGgGUA6NLw09EwE0CqkOc4q9oUmW1yo/edit?usp=sharing"",""เชียงใหม่!M299"")"),87215)</f>
        <v>87215</v>
      </c>
      <c r="O404" s="168">
        <f t="shared" ca="1" si="112"/>
        <v>66.217447422367329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IFERROR(__xludf.DUMMYFUNCTION("IMPORTRANGE(""https://docs.google.com/spreadsheets/d/11923uPwbBZFjjGgGUA6NLw09EwE0CqkOc4q9oUmW1yo/edit?usp=sharing"",""เชียงใหม่!L300"")"),0)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IFERROR(__xludf.DUMMYFUNCTION("IMPORTRANGE(""https://docs.google.com/spreadsheets/d/11923uPwbBZFjjGgGUA6NLw09EwE0CqkOc4q9oUmW1yo/edit?usp=sharing"",""เชียงใหม่!M300"")"),0)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IFERROR(__xludf.DUMMYFUNCTION("IMPORTRANGE(""https://docs.google.com/spreadsheets/d/11923uPwbBZFjjGgGUA6NLw09EwE0CqkOc4q9oUmW1yo/edit?usp=sharing"",""เชียงใหม่!L301"")"),131710)</f>
        <v>131710</v>
      </c>
      <c r="M406" s="168"/>
      <c r="N406" s="168">
        <f ca="1">IFERROR(__xludf.DUMMYFUNCTION("IMPORTRANGE(""https://docs.google.com/spreadsheets/d/11923uPwbBZFjjGgGUA6NLw09EwE0CqkOc4q9oUmW1yo/edit?usp=sharing"",""เชียงใหม่!M301"")"),87215)</f>
        <v>87215</v>
      </c>
      <c r="O406" s="168">
        <f t="shared" ca="1" si="112"/>
        <v>66.217447422367329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IFERROR(__xludf.DUMMYFUNCTION("IMPORTRANGE(""https://docs.google.com/spreadsheets/d/11923uPwbBZFjjGgGUA6NLw09EwE0CqkOc4q9oUmW1yo/edit?usp=sharing"",""เชียงใหม่!M302"")"),74225)</f>
        <v>74225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IFERROR(__xludf.DUMMYFUNCTION("IMPORTRANGE(""https://docs.google.com/spreadsheets/d/11923uPwbBZFjjGgGUA6NLw09EwE0CqkOc4q9oUmW1yo/edit?usp=sharing"",""เชียงใหม่!M303"")"),0)</f>
        <v>0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IFERROR(__xludf.DUMMYFUNCTION("IMPORTRANGE(""https://docs.google.com/spreadsheets/d/11923uPwbBZFjjGgGUA6NLw09EwE0CqkOc4q9oUmW1yo/edit?usp=sharing"",""เชียงใหม่!M304"")"),0)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IFERROR(__xludf.DUMMYFUNCTION("IMPORTRANGE(""https://docs.google.com/spreadsheets/d/11923uPwbBZFjjGgGUA6NLw09EwE0CqkOc4q9oUmW1yo/edit?usp=sharing"",""เชียงใหม่!M305"")"),12990)</f>
        <v>12990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IFERROR(__xludf.DUMMYFUNCTION("IMPORTRANGE(""https://docs.google.com/spreadsheets/d/11923uPwbBZFjjGgGUA6NLw09EwE0CqkOc4q9oUmW1yo/edit?usp=sharing"",""เชียงใหม่!J307"")"),0)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IFERROR(__xludf.DUMMYFUNCTION("IMPORTRANGE(""https://docs.google.com/spreadsheets/d/11923uPwbBZFjjGgGUA6NLw09EwE0CqkOc4q9oUmW1yo/edit?usp=sharing"",""เชียงใหม่!J308"")"),1)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IFERROR(__xludf.DUMMYFUNCTION("IMPORTRANGE(""https://docs.google.com/spreadsheets/d/11923uPwbBZFjjGgGUA6NLw09EwE0CqkOc4q9oUmW1yo/edit?usp=sharing"",""เชียงใหม่!J309"")"),1)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IFERROR(__xludf.DUMMYFUNCTION("IMPORTRANGE(""https://docs.google.com/spreadsheets/d/11923uPwbBZFjjGgGUA6NLw09EwE0CqkOc4q9oUmW1yo/edit?usp=sharing"",""เชียงใหม่!J310"")"),1)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IFERROR(__xludf.DUMMYFUNCTION("IMPORTRANGE(""https://docs.google.com/spreadsheets/d/11923uPwbBZFjjGgGUA6NLw09EwE0CqkOc4q9oUmW1yo/edit?usp=sharing"",""เชียงใหม่!I311"")"),35)</f>
        <v>35</v>
      </c>
      <c r="J416" s="200">
        <f ca="1">IFERROR(__xludf.DUMMYFUNCTION("IMPORTRANGE(""https://docs.google.com/spreadsheets/d/11923uPwbBZFjjGgGUA6NLw09EwE0CqkOc4q9oUmW1yo/edit?usp=sharing"",""เชียงใหม่!J311"")"),35)</f>
        <v>35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IFERROR(__xludf.DUMMYFUNCTION("IMPORTRANGE(""https://docs.google.com/spreadsheets/d/11923uPwbBZFjjGgGUA6NLw09EwE0CqkOc4q9oUmW1yo/edit?usp=sharing"",""เชียงใหม่!I312"")"),10)</f>
        <v>10</v>
      </c>
      <c r="J417" s="390">
        <f ca="1">IFERROR(__xludf.DUMMYFUNCTION("IMPORTRANGE(""https://docs.google.com/spreadsheets/d/11923uPwbBZFjjGgGUA6NLw09EwE0CqkOc4q9oUmW1yo/edit?usp=sharing"",""เชียงใหม่!J312"")"),10)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IFERROR(__xludf.DUMMYFUNCTION("IMPORTRANGE(""https://docs.google.com/spreadsheets/d/11923uPwbBZFjjGgGUA6NLw09EwE0CqkOc4q9oUmW1yo/edit?usp=sharing"",""เชียงใหม่!I313"")"),30)</f>
        <v>30</v>
      </c>
      <c r="J418" s="391">
        <f ca="1">IFERROR(__xludf.DUMMYFUNCTION("IMPORTRANGE(""https://docs.google.com/spreadsheets/d/11923uPwbBZFjjGgGUA6NLw09EwE0CqkOc4q9oUmW1yo/edit?usp=sharing"",""เชียงใหม่!J313"")"),30)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IFERROR(__xludf.DUMMYFUNCTION("IMPORTRANGE(""https://docs.google.com/spreadsheets/d/11923uPwbBZFjjGgGUA6NLw09EwE0CqkOc4q9oUmW1yo/edit?usp=sharing"",""เชียงใหม่!I314"")"),10)</f>
        <v>10</v>
      </c>
      <c r="J419" s="392">
        <f ca="1">IFERROR(__xludf.DUMMYFUNCTION("IMPORTRANGE(""https://docs.google.com/spreadsheets/d/11923uPwbBZFjjGgGUA6NLw09EwE0CqkOc4q9oUmW1yo/edit?usp=sharing"",""เชียงใหม่!J314"")"),10)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IFERROR(__xludf.DUMMYFUNCTION("IMPORTRANGE(""https://docs.google.com/spreadsheets/d/11923uPwbBZFjjGgGUA6NLw09EwE0CqkOc4q9oUmW1yo/edit?usp=sharing"",""เชียงใหม่!I315"")"),10)</f>
        <v>10</v>
      </c>
      <c r="J420" s="392">
        <f ca="1">IFERROR(__xludf.DUMMYFUNCTION("IMPORTRANGE(""https://docs.google.com/spreadsheets/d/11923uPwbBZFjjGgGUA6NLw09EwE0CqkOc4q9oUmW1yo/edit?usp=sharing"",""เชียงใหม่!J315"")"),10)</f>
        <v>10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IFERROR(__xludf.DUMMYFUNCTION("IMPORTRANGE(""https://docs.google.com/spreadsheets/d/11923uPwbBZFjjGgGUA6NLw09EwE0CqkOc4q9oUmW1yo/edit?usp=sharing"",""เชียงใหม่!I316"")"),15)</f>
        <v>15</v>
      </c>
      <c r="J421" s="390">
        <f ca="1">IFERROR(__xludf.DUMMYFUNCTION("IMPORTRANGE(""https://docs.google.com/spreadsheets/d/11923uPwbBZFjjGgGUA6NLw09EwE0CqkOc4q9oUmW1yo/edit?usp=sharing"",""เชียงใหม่!J316"")"),15)</f>
        <v>15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IFERROR(__xludf.DUMMYFUNCTION("IMPORTRANGE(""https://docs.google.com/spreadsheets/d/11923uPwbBZFjjGgGUA6NLw09EwE0CqkOc4q9oUmW1yo/edit?usp=sharing"",""เชียงใหม่!I317"")"),45)</f>
        <v>45</v>
      </c>
      <c r="J422" s="391">
        <f ca="1">IFERROR(__xludf.DUMMYFUNCTION("IMPORTRANGE(""https://docs.google.com/spreadsheets/d/11923uPwbBZFjjGgGUA6NLw09EwE0CqkOc4q9oUmW1yo/edit?usp=sharing"",""เชียงใหม่!J317"")"),45)</f>
        <v>45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IFERROR(__xludf.DUMMYFUNCTION("IMPORTRANGE(""https://docs.google.com/spreadsheets/d/11923uPwbBZFjjGgGUA6NLw09EwE0CqkOc4q9oUmW1yo/edit?usp=sharing"",""เชียงใหม่!I318"")"),15)</f>
        <v>15</v>
      </c>
      <c r="J423" s="392">
        <f ca="1">IFERROR(__xludf.DUMMYFUNCTION("IMPORTRANGE(""https://docs.google.com/spreadsheets/d/11923uPwbBZFjjGgGUA6NLw09EwE0CqkOc4q9oUmW1yo/edit?usp=sharing"",""เชียงใหม่!J318"")"),15)</f>
        <v>15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IFERROR(__xludf.DUMMYFUNCTION("IMPORTRANGE(""https://docs.google.com/spreadsheets/d/11923uPwbBZFjjGgGUA6NLw09EwE0CqkOc4q9oUmW1yo/edit?usp=sharing"",""เชียงใหม่!I319"")"),15)</f>
        <v>15</v>
      </c>
      <c r="J424" s="392">
        <f ca="1">IFERROR(__xludf.DUMMYFUNCTION("IMPORTRANGE(""https://docs.google.com/spreadsheets/d/11923uPwbBZFjjGgGUA6NLw09EwE0CqkOc4q9oUmW1yo/edit?usp=sharing"",""เชียงใหม่!J319"")"),15)</f>
        <v>15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IFERROR(__xludf.DUMMYFUNCTION("IMPORTRANGE(""https://docs.google.com/spreadsheets/d/11923uPwbBZFjjGgGUA6NLw09EwE0CqkOc4q9oUmW1yo/edit?usp=sharing"",""เชียงใหม่!I320"")"),15)</f>
        <v>15</v>
      </c>
      <c r="J425" s="392">
        <f ca="1">IFERROR(__xludf.DUMMYFUNCTION("IMPORTRANGE(""https://docs.google.com/spreadsheets/d/11923uPwbBZFjjGgGUA6NLw09EwE0CqkOc4q9oUmW1yo/edit?usp=sharing"",""เชียงใหม่!J320"")"),15)</f>
        <v>15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IFERROR(__xludf.DUMMYFUNCTION("IMPORTRANGE(""https://docs.google.com/spreadsheets/d/11923uPwbBZFjjGgGUA6NLw09EwE0CqkOc4q9oUmW1yo/edit?usp=sharing"",""เชียงใหม่!I321"")"),10)</f>
        <v>10</v>
      </c>
      <c r="J426" s="390">
        <f ca="1">IFERROR(__xludf.DUMMYFUNCTION("IMPORTRANGE(""https://docs.google.com/spreadsheets/d/11923uPwbBZFjjGgGUA6NLw09EwE0CqkOc4q9oUmW1yo/edit?usp=sharing"",""เชียงใหม่!J321"")"),10)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IFERROR(__xludf.DUMMYFUNCTION("IMPORTRANGE(""https://docs.google.com/spreadsheets/d/11923uPwbBZFjjGgGUA6NLw09EwE0CqkOc4q9oUmW1yo/edit?usp=sharing"",""เชียงใหม่!I322"")"),30)</f>
        <v>30</v>
      </c>
      <c r="J427" s="391">
        <f ca="1">IFERROR(__xludf.DUMMYFUNCTION("IMPORTRANGE(""https://docs.google.com/spreadsheets/d/11923uPwbBZFjjGgGUA6NLw09EwE0CqkOc4q9oUmW1yo/edit?usp=sharing"",""เชียงใหม่!J322"")"),30)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IFERROR(__xludf.DUMMYFUNCTION("IMPORTRANGE(""https://docs.google.com/spreadsheets/d/11923uPwbBZFjjGgGUA6NLw09EwE0CqkOc4q9oUmW1yo/edit?usp=sharing"",""เชียงใหม่!I323"")"),10)</f>
        <v>10</v>
      </c>
      <c r="J428" s="392">
        <f ca="1">IFERROR(__xludf.DUMMYFUNCTION("IMPORTRANGE(""https://docs.google.com/spreadsheets/d/11923uPwbBZFjjGgGUA6NLw09EwE0CqkOc4q9oUmW1yo/edit?usp=sharing"",""เชียงใหม่!J323"")"),10)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IFERROR(__xludf.DUMMYFUNCTION("IMPORTRANGE(""https://docs.google.com/spreadsheets/d/11923uPwbBZFjjGgGUA6NLw09EwE0CqkOc4q9oUmW1yo/edit?usp=sharing"",""เชียงใหม่!I324"")"),10)</f>
        <v>10</v>
      </c>
      <c r="J429" s="392">
        <f ca="1">IFERROR(__xludf.DUMMYFUNCTION("IMPORTRANGE(""https://docs.google.com/spreadsheets/d/11923uPwbBZFjjGgGUA6NLw09EwE0CqkOc4q9oUmW1yo/edit?usp=sharing"",""เชียงใหม่!J324"")"),10)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IFERROR(__xludf.DUMMYFUNCTION("IMPORTRANGE(""https://docs.google.com/spreadsheets/d/11923uPwbBZFjjGgGUA6NLw09EwE0CqkOc4q9oUmW1yo/edit?usp=sharing"",""เชียงใหม่!I325"")"),25)</f>
        <v>25</v>
      </c>
      <c r="J430" s="390">
        <f ca="1">IFERROR(__xludf.DUMMYFUNCTION("IMPORTRANGE(""https://docs.google.com/spreadsheets/d/11923uPwbBZFjjGgGUA6NLw09EwE0CqkOc4q9oUmW1yo/edit?usp=sharing"",""เชียงใหม่!J325"")"),0)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IFERROR(__xludf.DUMMYFUNCTION("IMPORTRANGE(""https://docs.google.com/spreadsheets/d/11923uPwbBZFjjGgGUA6NLw09EwE0CqkOc4q9oUmW1yo/edit?usp=sharing"",""เชียงใหม่!I326"")"),10)</f>
        <v>10</v>
      </c>
      <c r="J431" s="392">
        <f ca="1">IFERROR(__xludf.DUMMYFUNCTION("IMPORTRANGE(""https://docs.google.com/spreadsheets/d/11923uPwbBZFjjGgGUA6NLw09EwE0CqkOc4q9oUmW1yo/edit?usp=sharing"",""เชียงใหม่!J326"")"),0)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IFERROR(__xludf.DUMMYFUNCTION("IMPORTRANGE(""https://docs.google.com/spreadsheets/d/11923uPwbBZFjjGgGUA6NLw09EwE0CqkOc4q9oUmW1yo/edit?usp=sharing"",""เชียงใหม่!I327"")"),15)</f>
        <v>15</v>
      </c>
      <c r="J432" s="392">
        <f ca="1">IFERROR(__xludf.DUMMYFUNCTION("IMPORTRANGE(""https://docs.google.com/spreadsheets/d/11923uPwbBZFjjGgGUA6NLw09EwE0CqkOc4q9oUmW1yo/edit?usp=sharing"",""เชียงใหม่!J327"")"),0)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IFERROR(__xludf.DUMMYFUNCTION("IMPORTRANGE(""https://docs.google.com/spreadsheets/d/11923uPwbBZFjjGgGUA6NLw09EwE0CqkOc4q9oUmW1yo/edit?usp=sharing"",""เชียงใหม่!J328"")"),0)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IFERROR(__xludf.DUMMYFUNCTION("IMPORTRANGE(""https://docs.google.com/spreadsheets/d/11923uPwbBZFjjGgGUA6NLw09EwE0CqkOc4q9oUmW1yo/edit?usp=sharing"",""เชียงใหม่!J329"")"),0)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IFERROR(__xludf.DUMMYFUNCTION("IMPORTRANGE(""https://docs.google.com/spreadsheets/d/11923uPwbBZFjjGgGUA6NLw09EwE0CqkOc4q9oUmW1yo/edit?usp=sharing"",""เชียงใหม่!I330"")"),20)</f>
        <v>20</v>
      </c>
      <c r="J435" s="408">
        <f ca="1">IFERROR(__xludf.DUMMYFUNCTION("IMPORTRANGE(""https://docs.google.com/spreadsheets/d/11923uPwbBZFjjGgGUA6NLw09EwE0CqkOc4q9oUmW1yo/edit?usp=sharing"",""เชียงใหม่!J330"")"),20)</f>
        <v>20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IFERROR(__xludf.DUMMYFUNCTION("IMPORTRANGE(""https://docs.google.com/spreadsheets/d/11923uPwbBZFjjGgGUA6NLw09EwE0CqkOc4q9oUmW1yo/edit?usp=sharing"",""เชียงใหม่!L330"")"),100000)</f>
        <v>100000</v>
      </c>
      <c r="M435" s="410"/>
      <c r="N435" s="410">
        <f ca="1">IFERROR(__xludf.DUMMYFUNCTION("IMPORTRANGE(""https://docs.google.com/spreadsheets/d/11923uPwbBZFjjGgGUA6NLw09EwE0CqkOc4q9oUmW1yo/edit?usp=sharing"",""เชียงใหม่!M330"")"),35925)</f>
        <v>35925</v>
      </c>
      <c r="O435" s="410">
        <f t="shared" ref="O435:O439" ca="1" si="114">+IF(L435&gt;0,N435*100/L435,0)</f>
        <v>35.924999999999997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IFERROR(__xludf.DUMMYFUNCTION("IMPORTRANGE(""https://docs.google.com/spreadsheets/d/11923uPwbBZFjjGgGUA6NLw09EwE0CqkOc4q9oUmW1yo/edit?usp=sharing"",""เชียงใหม่!L331"")"),0)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IFERROR(__xludf.DUMMYFUNCTION("IMPORTRANGE(""https://docs.google.com/spreadsheets/d/11923uPwbBZFjjGgGUA6NLw09EwE0CqkOc4q9oUmW1yo/edit?usp=sharing"",""เชียงใหม่!M331"")"),0)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IFERROR(__xludf.DUMMYFUNCTION("IMPORTRANGE(""https://docs.google.com/spreadsheets/d/11923uPwbBZFjjGgGUA6NLw09EwE0CqkOc4q9oUmW1yo/edit?usp=sharing"",""เชียงใหม่!L332"")"),100000)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IFERROR(__xludf.DUMMYFUNCTION("IMPORTRANGE(""https://docs.google.com/spreadsheets/d/11923uPwbBZFjjGgGUA6NLw09EwE0CqkOc4q9oUmW1yo/edit?usp=sharing"",""เชียงใหม่!M332"")"),35925)</f>
        <v>35925</v>
      </c>
      <c r="O437" s="168">
        <f t="shared" ca="1" si="114"/>
        <v>35.924999999999997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IFERROR(__xludf.DUMMYFUNCTION("IMPORTRANGE(""https://docs.google.com/spreadsheets/d/11923uPwbBZFjjGgGUA6NLw09EwE0CqkOc4q9oUmW1yo/edit?usp=sharing"",""เชียงใหม่!L333"")"),0)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IFERROR(__xludf.DUMMYFUNCTION("IMPORTRANGE(""https://docs.google.com/spreadsheets/d/11923uPwbBZFjjGgGUA6NLw09EwE0CqkOc4q9oUmW1yo/edit?usp=sharing"",""เชียงใหม่!M333"")"),0)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IFERROR(__xludf.DUMMYFUNCTION("IMPORTRANGE(""https://docs.google.com/spreadsheets/d/11923uPwbBZFjjGgGUA6NLw09EwE0CqkOc4q9oUmW1yo/edit?usp=sharing"",""เชียงใหม่!L334"")"),100000)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IFERROR(__xludf.DUMMYFUNCTION("IMPORTRANGE(""https://docs.google.com/spreadsheets/d/11923uPwbBZFjjGgGUA6NLw09EwE0CqkOc4q9oUmW1yo/edit?usp=sharing"",""เชียงใหม่!M334"")"),35925)</f>
        <v>35925</v>
      </c>
      <c r="O439" s="168">
        <f t="shared" ca="1" si="114"/>
        <v>35.924999999999997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IFERROR(__xludf.DUMMYFUNCTION("IMPORTRANGE(""https://docs.google.com/spreadsheets/d/11923uPwbBZFjjGgGUA6NLw09EwE0CqkOc4q9oUmW1yo/edit?usp=sharing"",""เชียงใหม่!M335"")"),22395)</f>
        <v>22395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IFERROR(__xludf.DUMMYFUNCTION("IMPORTRANGE(""https://docs.google.com/spreadsheets/d/11923uPwbBZFjjGgGUA6NLw09EwE0CqkOc4q9oUmW1yo/edit?usp=sharing"",""เชียงใหม่!M336"")"),0)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IFERROR(__xludf.DUMMYFUNCTION("IMPORTRANGE(""https://docs.google.com/spreadsheets/d/11923uPwbBZFjjGgGUA6NLw09EwE0CqkOc4q9oUmW1yo/edit?usp=sharing"",""เชียงใหม่!M337"")"),0)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IFERROR(__xludf.DUMMYFUNCTION("IMPORTRANGE(""https://docs.google.com/spreadsheets/d/11923uPwbBZFjjGgGUA6NLw09EwE0CqkOc4q9oUmW1yo/edit?usp=sharing"",""เชียงใหม่!M338"")"),13530)</f>
        <v>13530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IFERROR(__xludf.DUMMYFUNCTION("IMPORTRANGE(""https://docs.google.com/spreadsheets/d/11923uPwbBZFjjGgGUA6NLw09EwE0CqkOc4q9oUmW1yo/edit?usp=sharing"",""เชียงใหม่!J340"")"),0)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IFERROR(__xludf.DUMMYFUNCTION("IMPORTRANGE(""https://docs.google.com/spreadsheets/d/11923uPwbBZFjjGgGUA6NLw09EwE0CqkOc4q9oUmW1yo/edit?usp=sharing"",""เชียงใหม่!J341"")"),1)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IFERROR(__xludf.DUMMYFUNCTION("IMPORTRANGE(""https://docs.google.com/spreadsheets/d/11923uPwbBZFjjGgGUA6NLw09EwE0CqkOc4q9oUmW1yo/edit?usp=sharing"",""เชียงใหม่!J342"")"),1)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IFERROR(__xludf.DUMMYFUNCTION("IMPORTRANGE(""https://docs.google.com/spreadsheets/d/11923uPwbBZFjjGgGUA6NLw09EwE0CqkOc4q9oUmW1yo/edit?usp=sharing"",""เชียงใหม่!J343"")"),1)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IFERROR(__xludf.DUMMYFUNCTION("IMPORTRANGE(""https://docs.google.com/spreadsheets/d/11923uPwbBZFjjGgGUA6NLw09EwE0CqkOc4q9oUmW1yo/edit?usp=sharing"",""เชียงใหม่!I344"")"),20)</f>
        <v>20</v>
      </c>
      <c r="J449" s="200">
        <f ca="1">IFERROR(__xludf.DUMMYFUNCTION("IMPORTRANGE(""https://docs.google.com/spreadsheets/d/11923uPwbBZFjjGgGUA6NLw09EwE0CqkOc4q9oUmW1yo/edit?usp=sharing"",""เชียงใหม่!J344"")"),20)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IFERROR(__xludf.DUMMYFUNCTION("IMPORTRANGE(""https://docs.google.com/spreadsheets/d/11923uPwbBZFjjGgGUA6NLw09EwE0CqkOc4q9oUmW1yo/edit?usp=sharing"",""เชียงใหม่!I345"")"),20)</f>
        <v>20</v>
      </c>
      <c r="J450" s="188">
        <f ca="1">IFERROR(__xludf.DUMMYFUNCTION("IMPORTRANGE(""https://docs.google.com/spreadsheets/d/11923uPwbBZFjjGgGUA6NLw09EwE0CqkOc4q9oUmW1yo/edit?usp=sharing"",""เชียงใหม่!J345"")"),20)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IFERROR(__xludf.DUMMYFUNCTION("IMPORTRANGE(""https://docs.google.com/spreadsheets/d/11923uPwbBZFjjGgGUA6NLw09EwE0CqkOc4q9oUmW1yo/edit?usp=sharing"",""เชียงใหม่!I346"")"),0)</f>
        <v>0</v>
      </c>
      <c r="J451" s="187">
        <f ca="1">IFERROR(__xludf.DUMMYFUNCTION("IMPORTRANGE(""https://docs.google.com/spreadsheets/d/11923uPwbBZFjjGgGUA6NLw09EwE0CqkOc4q9oUmW1yo/edit?usp=sharing"",""เชียงใหม่!J346"")"),0)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IFERROR(__xludf.DUMMYFUNCTION("IMPORTRANGE(""https://docs.google.com/spreadsheets/d/11923uPwbBZFjjGgGUA6NLw09EwE0CqkOc4q9oUmW1yo/edit?usp=sharing"",""เชียงใหม่!I347"")"),0)</f>
        <v>0</v>
      </c>
      <c r="J452" s="187">
        <f ca="1">IFERROR(__xludf.DUMMYFUNCTION("IMPORTRANGE(""https://docs.google.com/spreadsheets/d/11923uPwbBZFjjGgGUA6NLw09EwE0CqkOc4q9oUmW1yo/edit?usp=sharing"",""เชียงใหม่!J347"")"),0)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IFERROR(__xludf.DUMMYFUNCTION("IMPORTRANGE(""https://docs.google.com/spreadsheets/d/11923uPwbBZFjjGgGUA6NLw09EwE0CqkOc4q9oUmW1yo/edit?usp=sharing"",""เชียงใหม่!J348"")"),0)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IFERROR(__xludf.DUMMYFUNCTION("IMPORTRANGE(""https://docs.google.com/spreadsheets/d/11923uPwbBZFjjGgGUA6NLw09EwE0CqkOc4q9oUmW1yo/edit?usp=sharing"",""เชียงใหม่!J349"")"),0)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IFERROR(__xludf.DUMMYFUNCTION("IMPORTRANGE(""https://docs.google.com/spreadsheets/d/11923uPwbBZFjjGgGUA6NLw09EwE0CqkOc4q9oUmW1yo/edit?usp=sharing"",""เชียงใหม่!I350"")"),19467)</f>
        <v>19467</v>
      </c>
      <c r="J455" s="369">
        <f ca="1">IFERROR(__xludf.DUMMYFUNCTION("IMPORTRANGE(""https://docs.google.com/spreadsheets/d/11923uPwbBZFjjGgGUA6NLw09EwE0CqkOc4q9oUmW1yo/edit?usp=sharing"",""เชียงใหม่!J350"")"),9322)</f>
        <v>9322</v>
      </c>
      <c r="K455" s="370">
        <f ca="1">IF(I455&gt;0,J455*100/I455,0)</f>
        <v>47.886166332768276</v>
      </c>
      <c r="L455" s="371">
        <f ca="1">IFERROR(__xludf.DUMMYFUNCTION("IMPORTRANGE(""https://docs.google.com/spreadsheets/d/11923uPwbBZFjjGgGUA6NLw09EwE0CqkOc4q9oUmW1yo/edit?usp=sharing"",""เชียงใหม่!L350"")"),536539)</f>
        <v>536539</v>
      </c>
      <c r="M455" s="371"/>
      <c r="N455" s="371">
        <f ca="1">IFERROR(__xludf.DUMMYFUNCTION("IMPORTRANGE(""https://docs.google.com/spreadsheets/d/11923uPwbBZFjjGgGUA6NLw09EwE0CqkOc4q9oUmW1yo/edit?usp=sharing"",""เชียงใหม่!M350"")"),194361.58)</f>
        <v>194361.58</v>
      </c>
      <c r="O455" s="371">
        <f t="shared" ref="O455:O459" ca="1" si="116">+IF(L455&gt;0,N455*100/L455,0)</f>
        <v>36.225060992770331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IFERROR(__xludf.DUMMYFUNCTION("IMPORTRANGE(""https://docs.google.com/spreadsheets/d/11923uPwbBZFjjGgGUA6NLw09EwE0CqkOc4q9oUmW1yo/edit?usp=sharing"",""เชียงใหม่!L351"")"),0)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IFERROR(__xludf.DUMMYFUNCTION("IMPORTRANGE(""https://docs.google.com/spreadsheets/d/11923uPwbBZFjjGgGUA6NLw09EwE0CqkOc4q9oUmW1yo/edit?usp=sharing"",""เชียงใหม่!M351"")"),0)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IFERROR(__xludf.DUMMYFUNCTION("IMPORTRANGE(""https://docs.google.com/spreadsheets/d/11923uPwbBZFjjGgGUA6NLw09EwE0CqkOc4q9oUmW1yo/edit?usp=sharing"",""เชียงใหม่!L352"")"),536539)</f>
        <v>536539</v>
      </c>
      <c r="M457" s="165"/>
      <c r="N457" s="168">
        <f ca="1">IFERROR(__xludf.DUMMYFUNCTION("IMPORTRANGE(""https://docs.google.com/spreadsheets/d/11923uPwbBZFjjGgGUA6NLw09EwE0CqkOc4q9oUmW1yo/edit?usp=sharing"",""เชียงใหม่!M352"")"),194361.58)</f>
        <v>194361.58</v>
      </c>
      <c r="O457" s="168">
        <f t="shared" ca="1" si="116"/>
        <v>36.225060992770331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IFERROR(__xludf.DUMMYFUNCTION("IMPORTRANGE(""https://docs.google.com/spreadsheets/d/11923uPwbBZFjjGgGUA6NLw09EwE0CqkOc4q9oUmW1yo/edit?usp=sharing"",""เชียงใหม่!L353"")"),0)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IFERROR(__xludf.DUMMYFUNCTION("IMPORTRANGE(""https://docs.google.com/spreadsheets/d/11923uPwbBZFjjGgGUA6NLw09EwE0CqkOc4q9oUmW1yo/edit?usp=sharing"",""เชียงใหม่!M353"")"),0)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IFERROR(__xludf.DUMMYFUNCTION("IMPORTRANGE(""https://docs.google.com/spreadsheets/d/11923uPwbBZFjjGgGUA6NLw09EwE0CqkOc4q9oUmW1yo/edit?usp=sharing"",""เชียงใหม่!L354"")"),536539)</f>
        <v>536539</v>
      </c>
      <c r="M459" s="168"/>
      <c r="N459" s="168">
        <f ca="1">IFERROR(__xludf.DUMMYFUNCTION("IMPORTRANGE(""https://docs.google.com/spreadsheets/d/11923uPwbBZFjjGgGUA6NLw09EwE0CqkOc4q9oUmW1yo/edit?usp=sharing"",""เชียงใหม่!M354"")"),194361.58)</f>
        <v>194361.58</v>
      </c>
      <c r="O459" s="168">
        <f t="shared" ca="1" si="116"/>
        <v>36.225060992770331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IFERROR(__xludf.DUMMYFUNCTION("IMPORTRANGE(""https://docs.google.com/spreadsheets/d/11923uPwbBZFjjGgGUA6NLw09EwE0CqkOc4q9oUmW1yo/edit?usp=sharing"",""เชียงใหม่!M355"")"),0)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IFERROR(__xludf.DUMMYFUNCTION("IMPORTRANGE(""https://docs.google.com/spreadsheets/d/11923uPwbBZFjjGgGUA6NLw09EwE0CqkOc4q9oUmW1yo/edit?usp=sharing"",""เชียงใหม่!M356"")"),0)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IFERROR(__xludf.DUMMYFUNCTION("IMPORTRANGE(""https://docs.google.com/spreadsheets/d/11923uPwbBZFjjGgGUA6NLw09EwE0CqkOc4q9oUmW1yo/edit?usp=sharing"",""เชียงใหม่!M357"")"),53225.58)</f>
        <v>53225.58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IFERROR(__xludf.DUMMYFUNCTION("IMPORTRANGE(""https://docs.google.com/spreadsheets/d/11923uPwbBZFjjGgGUA6NLw09EwE0CqkOc4q9oUmW1yo/edit?usp=sharing"",""เชียงใหม่!M358"")"),141136)</f>
        <v>141136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IFERROR(__xludf.DUMMYFUNCTION("IMPORTRANGE(""https://docs.google.com/spreadsheets/d/11923uPwbBZFjjGgGUA6NLw09EwE0CqkOc4q9oUmW1yo/edit?usp=sharing"",""เชียงใหม่!I359"")"),19467)</f>
        <v>19467</v>
      </c>
      <c r="J464" s="266">
        <f ca="1">IFERROR(__xludf.DUMMYFUNCTION("IMPORTRANGE(""https://docs.google.com/spreadsheets/d/11923uPwbBZFjjGgGUA6NLw09EwE0CqkOc4q9oUmW1yo/edit?usp=sharing"",""เชียงใหม่!J359"")"),9322)</f>
        <v>9322</v>
      </c>
      <c r="K464" s="267">
        <f t="shared" ref="K464:K515" ca="1" si="117">IF(I464&gt;0,J464*100/I464,0)</f>
        <v>47.886166332768276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IFERROR(__xludf.DUMMYFUNCTION("IMPORTRANGE(""https://docs.google.com/spreadsheets/d/11923uPwbBZFjjGgGUA6NLw09EwE0CqkOc4q9oUmW1yo/edit?usp=sharing"",""เชียงใหม่!I360"")"),19467)</f>
        <v>19467</v>
      </c>
      <c r="J465" s="418">
        <f ca="1">IFERROR(__xludf.DUMMYFUNCTION("IMPORTRANGE(""https://docs.google.com/spreadsheets/d/11923uPwbBZFjjGgGUA6NLw09EwE0CqkOc4q9oUmW1yo/edit?usp=sharing"",""เชียงใหม่!J360"")"),19466.7399999999)</f>
        <v>19466.7399999999</v>
      </c>
      <c r="K465" s="201">
        <f t="shared" ca="1" si="117"/>
        <v>99.998664406430876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IFERROR(__xludf.DUMMYFUNCTION("IMPORTRANGE(""https://docs.google.com/spreadsheets/d/11923uPwbBZFjjGgGUA6NLw09EwE0CqkOc4q9oUmW1yo/edit?usp=sharing"",""เชียงใหม่!I361"")"),4394)</f>
        <v>4394</v>
      </c>
      <c r="J466" s="418">
        <f ca="1">IFERROR(__xludf.DUMMYFUNCTION("IMPORTRANGE(""https://docs.google.com/spreadsheets/d/11923uPwbBZFjjGgGUA6NLw09EwE0CqkOc4q9oUmW1yo/edit?usp=sharing"",""เชียงใหม่!J361"")"),4394)</f>
        <v>4394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IFERROR(__xludf.DUMMYFUNCTION("IMPORTRANGE(""https://docs.google.com/spreadsheets/d/11923uPwbBZFjjGgGUA6NLw09EwE0CqkOc4q9oUmW1yo/edit?usp=sharing"",""เชียงใหม่!I362"")"),0)</f>
        <v>0</v>
      </c>
      <c r="J467" s="188">
        <f ca="1">IFERROR(__xludf.DUMMYFUNCTION("IMPORTRANGE(""https://docs.google.com/spreadsheets/d/11923uPwbBZFjjGgGUA6NLw09EwE0CqkOc4q9oUmW1yo/edit?usp=sharing"",""เชียงใหม่!J362"")"),9245.41)</f>
        <v>9245.41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IFERROR(__xludf.DUMMYFUNCTION("IMPORTRANGE(""https://docs.google.com/spreadsheets/d/11923uPwbBZFjjGgGUA6NLw09EwE0CqkOc4q9oUmW1yo/edit?usp=sharing"",""เชียงใหม่!I363"")"),0)</f>
        <v>0</v>
      </c>
      <c r="J468" s="188">
        <f ca="1">IFERROR(__xludf.DUMMYFUNCTION("IMPORTRANGE(""https://docs.google.com/spreadsheets/d/11923uPwbBZFjjGgGUA6NLw09EwE0CqkOc4q9oUmW1yo/edit?usp=sharing"",""เชียงใหม่!J363"")"),2380)</f>
        <v>2380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IFERROR(__xludf.DUMMYFUNCTION("IMPORTRANGE(""https://docs.google.com/spreadsheets/d/11923uPwbBZFjjGgGUA6NLw09EwE0CqkOc4q9oUmW1yo/edit?usp=sharing"",""เชียงใหม่!I364"")"),0)</f>
        <v>0</v>
      </c>
      <c r="J469" s="188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IFERROR(__xludf.DUMMYFUNCTION("IMPORTRANGE(""https://docs.google.com/spreadsheets/d/11923uPwbBZFjjGgGUA6NLw09EwE0CqkOc4q9oUmW1yo/edit?usp=sharing"",""เชียงใหม่!I365"")"),0)</f>
        <v>0</v>
      </c>
      <c r="J470" s="188">
        <f ca="1">IFERROR(__xludf.DUMMYFUNCTION("IMPORTRANGE(""https://docs.google.com/spreadsheets/d/11923uPwbBZFjjGgGUA6NLw09EwE0CqkOc4q9oUmW1yo/edit?usp=sharing"",""เชียงใหม่!J365"")"),1953)</f>
        <v>1953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IFERROR(__xludf.DUMMYFUNCTION("IMPORTRANGE(""https://docs.google.com/spreadsheets/d/11923uPwbBZFjjGgGUA6NLw09EwE0CqkOc4q9oUmW1yo/edit?usp=sharing"",""เชียงใหม่!I366"")"),0)</f>
        <v>0</v>
      </c>
      <c r="J471" s="188">
        <f ca="1">IFERROR(__xludf.DUMMYFUNCTION("IMPORTRANGE(""https://docs.google.com/spreadsheets/d/11923uPwbBZFjjGgGUA6NLw09EwE0CqkOc4q9oUmW1yo/edit?usp=sharing"",""เชียงใหม่!J366"")"),201)</f>
        <v>201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IFERROR(__xludf.DUMMYFUNCTION("IMPORTRANGE(""https://docs.google.com/spreadsheets/d/11923uPwbBZFjjGgGUA6NLw09EwE0CqkOc4q9oUmW1yo/edit?usp=sharing"",""เชียงใหม่!I367"")"),0)</f>
        <v>0</v>
      </c>
      <c r="J472" s="188">
        <f ca="1">IFERROR(__xludf.DUMMYFUNCTION("IMPORTRANGE(""https://docs.google.com/spreadsheets/d/11923uPwbBZFjjGgGUA6NLw09EwE0CqkOc4q9oUmW1yo/edit?usp=sharing"",""เชียงใหม่!J367"")"),61)</f>
        <v>61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IFERROR(__xludf.DUMMYFUNCTION("IMPORTRANGE(""https://docs.google.com/spreadsheets/d/11923uPwbBZFjjGgGUA6NLw09EwE0CqkOc4q9oUmW1yo/edit?usp=sharing"",""เชียงใหม่!I368"")"),19467)</f>
        <v>19467</v>
      </c>
      <c r="J473" s="418">
        <f ca="1">IFERROR(__xludf.DUMMYFUNCTION("IMPORTRANGE(""https://docs.google.com/spreadsheets/d/11923uPwbBZFjjGgGUA6NLw09EwE0CqkOc4q9oUmW1yo/edit?usp=sharing"",""เชียงใหม่!J368"")"),19467.3399999999)</f>
        <v>19467.339999999898</v>
      </c>
      <c r="K473" s="201">
        <f t="shared" ca="1" si="117"/>
        <v>100.00174654543534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IFERROR(__xludf.DUMMYFUNCTION("IMPORTRANGE(""https://docs.google.com/spreadsheets/d/11923uPwbBZFjjGgGUA6NLw09EwE0CqkOc4q9oUmW1yo/edit?usp=sharing"",""เชียงใหม่!I369"")"),4394)</f>
        <v>4394</v>
      </c>
      <c r="J474" s="418">
        <f ca="1">IFERROR(__xludf.DUMMYFUNCTION("IMPORTRANGE(""https://docs.google.com/spreadsheets/d/11923uPwbBZFjjGgGUA6NLw09EwE0CqkOc4q9oUmW1yo/edit?usp=sharing"",""เชียงใหม่!J369"")"),4394)</f>
        <v>4394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IFERROR(__xludf.DUMMYFUNCTION("IMPORTRANGE(""https://docs.google.com/spreadsheets/d/11923uPwbBZFjjGgGUA6NLw09EwE0CqkOc4q9oUmW1yo/edit?usp=sharing"",""เชียงใหม่!I370"")"),0)</f>
        <v>0</v>
      </c>
      <c r="J475" s="188">
        <f ca="1">IFERROR(__xludf.DUMMYFUNCTION("IMPORTRANGE(""https://docs.google.com/spreadsheets/d/11923uPwbBZFjjGgGUA6NLw09EwE0CqkOc4q9oUmW1yo/edit?usp=sharing"",""เชียงใหม่!J370"")"),9321.76)</f>
        <v>9321.76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IFERROR(__xludf.DUMMYFUNCTION("IMPORTRANGE(""https://docs.google.com/spreadsheets/d/11923uPwbBZFjjGgGUA6NLw09EwE0CqkOc4q9oUmW1yo/edit?usp=sharing"",""เชียงใหม่!I371"")"),0)</f>
        <v>0</v>
      </c>
      <c r="J476" s="188">
        <f ca="1">IFERROR(__xludf.DUMMYFUNCTION("IMPORTRANGE(""https://docs.google.com/spreadsheets/d/11923uPwbBZFjjGgGUA6NLw09EwE0CqkOc4q9oUmW1yo/edit?usp=sharing"",""เชียงใหม่!J371"")"),2393)</f>
        <v>2393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IFERROR(__xludf.DUMMYFUNCTION("IMPORTRANGE(""https://docs.google.com/spreadsheets/d/11923uPwbBZFjjGgGUA6NLw09EwE0CqkOc4q9oUmW1yo/edit?usp=sharing"",""เชียงใหม่!I372"")"),0)</f>
        <v>0</v>
      </c>
      <c r="J477" s="188">
        <f ca="1">IFERROR(__xludf.DUMMYFUNCTION("IMPORTRANGE(""https://docs.google.com/spreadsheets/d/11923uPwbBZFjjGgGUA6NLw09EwE0CqkOc4q9oUmW1yo/edit?usp=sharing"",""เชียงใหม่!J372"")"),9937.23)</f>
        <v>9937.23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IFERROR(__xludf.DUMMYFUNCTION("IMPORTRANGE(""https://docs.google.com/spreadsheets/d/11923uPwbBZFjjGgGUA6NLw09EwE0CqkOc4q9oUmW1yo/edit?usp=sharing"",""เชียงใหม่!I373"")"),0)</f>
        <v>0</v>
      </c>
      <c r="J478" s="188">
        <f ca="1">IFERROR(__xludf.DUMMYFUNCTION("IMPORTRANGE(""https://docs.google.com/spreadsheets/d/11923uPwbBZFjjGgGUA6NLw09EwE0CqkOc4q9oUmW1yo/edit?usp=sharing"",""เชียงใหม่!J373"")"),1938)</f>
        <v>1938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IFERROR(__xludf.DUMMYFUNCTION("IMPORTRANGE(""https://docs.google.com/spreadsheets/d/11923uPwbBZFjjGgGUA6NLw09EwE0CqkOc4q9oUmW1yo/edit?usp=sharing"",""เชียงใหม่!I374"")"),0)</f>
        <v>0</v>
      </c>
      <c r="J479" s="188">
        <f ca="1">IFERROR(__xludf.DUMMYFUNCTION("IMPORTRANGE(""https://docs.google.com/spreadsheets/d/11923uPwbBZFjjGgGUA6NLw09EwE0CqkOc4q9oUmW1yo/edit?usp=sharing"",""เชียงใหม่!J374"")"),208.35)</f>
        <v>208.35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IFERROR(__xludf.DUMMYFUNCTION("IMPORTRANGE(""https://docs.google.com/spreadsheets/d/11923uPwbBZFjjGgGUA6NLw09EwE0CqkOc4q9oUmW1yo/edit?usp=sharing"",""เชียงใหม่!I375"")"),0)</f>
        <v>0</v>
      </c>
      <c r="J480" s="188">
        <f ca="1">IFERROR(__xludf.DUMMYFUNCTION("IMPORTRANGE(""https://docs.google.com/spreadsheets/d/11923uPwbBZFjjGgGUA6NLw09EwE0CqkOc4q9oUmW1yo/edit?usp=sharing"",""เชียงใหม่!J375"")"),63)</f>
        <v>63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IFERROR(__xludf.DUMMYFUNCTION("IMPORTRANGE(""https://docs.google.com/spreadsheets/d/11923uPwbBZFjjGgGUA6NLw09EwE0CqkOc4q9oUmW1yo/edit?usp=sharing"",""เชียงใหม่!I376"")"),19467)</f>
        <v>19467</v>
      </c>
      <c r="J481" s="418">
        <f ca="1">IFERROR(__xludf.DUMMYFUNCTION("IMPORTRANGE(""https://docs.google.com/spreadsheets/d/11923uPwbBZFjjGgGUA6NLw09EwE0CqkOc4q9oUmW1yo/edit?usp=sharing"",""เชียงใหม่!J376"")"),9322)</f>
        <v>9322</v>
      </c>
      <c r="K481" s="201">
        <f t="shared" ca="1" si="117"/>
        <v>47.886166332768276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IFERROR(__xludf.DUMMYFUNCTION("IMPORTRANGE(""https://docs.google.com/spreadsheets/d/11923uPwbBZFjjGgGUA6NLw09EwE0CqkOc4q9oUmW1yo/edit?usp=sharing"",""เชียงใหม่!I377"")"),4394)</f>
        <v>4394</v>
      </c>
      <c r="J482" s="418">
        <f ca="1">IFERROR(__xludf.DUMMYFUNCTION("IMPORTRANGE(""https://docs.google.com/spreadsheets/d/11923uPwbBZFjjGgGUA6NLw09EwE0CqkOc4q9oUmW1yo/edit?usp=sharing"",""เชียงใหม่!J377"")"),2393)</f>
        <v>2393</v>
      </c>
      <c r="K482" s="163">
        <f t="shared" ca="1" si="117"/>
        <v>54.460628129267185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IFERROR(__xludf.DUMMYFUNCTION("IMPORTRANGE(""https://docs.google.com/spreadsheets/d/11923uPwbBZFjjGgGUA6NLw09EwE0CqkOc4q9oUmW1yo/edit?usp=sharing"",""เชียงใหม่!I378"")"),0)</f>
        <v>0</v>
      </c>
      <c r="J483" s="188">
        <f ca="1">IFERROR(__xludf.DUMMYFUNCTION("IMPORTRANGE(""https://docs.google.com/spreadsheets/d/11923uPwbBZFjjGgGUA6NLw09EwE0CqkOc4q9oUmW1yo/edit?usp=sharing"",""เชียงใหม่!J378"")"),9322)</f>
        <v>9322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IFERROR(__xludf.DUMMYFUNCTION("IMPORTRANGE(""https://docs.google.com/spreadsheets/d/11923uPwbBZFjjGgGUA6NLw09EwE0CqkOc4q9oUmW1yo/edit?usp=sharing"",""เชียงใหม่!I379"")"),0)</f>
        <v>0</v>
      </c>
      <c r="J484" s="188">
        <f ca="1">IFERROR(__xludf.DUMMYFUNCTION("IMPORTRANGE(""https://docs.google.com/spreadsheets/d/11923uPwbBZFjjGgGUA6NLw09EwE0CqkOc4q9oUmW1yo/edit?usp=sharing"",""เชียงใหม่!J379"")"),2393)</f>
        <v>2393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IFERROR(__xludf.DUMMYFUNCTION("IMPORTRANGE(""https://docs.google.com/spreadsheets/d/11923uPwbBZFjjGgGUA6NLw09EwE0CqkOc4q9oUmW1yo/edit?usp=sharing"",""เชียงใหม่!I380"")"),0)</f>
        <v>0</v>
      </c>
      <c r="J485" s="188">
        <f ca="1">IFERROR(__xludf.DUMMYFUNCTION("IMPORTRANGE(""https://docs.google.com/spreadsheets/d/11923uPwbBZFjjGgGUA6NLw09EwE0CqkOc4q9oUmW1yo/edit?usp=sharing"",""เชียงใหม่!J380"")"),0)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IFERROR(__xludf.DUMMYFUNCTION("IMPORTRANGE(""https://docs.google.com/spreadsheets/d/11923uPwbBZFjjGgGUA6NLw09EwE0CqkOc4q9oUmW1yo/edit?usp=sharing"",""เชียงใหม่!I381"")"),0)</f>
        <v>0</v>
      </c>
      <c r="J486" s="188">
        <f ca="1">IFERROR(__xludf.DUMMYFUNCTION("IMPORTRANGE(""https://docs.google.com/spreadsheets/d/11923uPwbBZFjjGgGUA6NLw09EwE0CqkOc4q9oUmW1yo/edit?usp=sharing"",""เชียงใหม่!J381"")"),0)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IFERROR(__xludf.DUMMYFUNCTION("IMPORTRANGE(""https://docs.google.com/spreadsheets/d/11923uPwbBZFjjGgGUA6NLw09EwE0CqkOc4q9oUmW1yo/edit?usp=sharing"",""เชียงใหม่!I382"")"),0)</f>
        <v>0</v>
      </c>
      <c r="J487" s="418">
        <f ca="1">IFERROR(__xludf.DUMMYFUNCTION("IMPORTRANGE(""https://docs.google.com/spreadsheets/d/11923uPwbBZFjjGgGUA6NLw09EwE0CqkOc4q9oUmW1yo/edit?usp=sharing"",""เชียงใหม่!J382"")"),0)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IFERROR(__xludf.DUMMYFUNCTION("IMPORTRANGE(""https://docs.google.com/spreadsheets/d/11923uPwbBZFjjGgGUA6NLw09EwE0CqkOc4q9oUmW1yo/edit?usp=sharing"",""เชียงใหม่!I383"")"),0)</f>
        <v>0</v>
      </c>
      <c r="J488" s="418">
        <f ca="1">IFERROR(__xludf.DUMMYFUNCTION("IMPORTRANGE(""https://docs.google.com/spreadsheets/d/11923uPwbBZFjjGgGUA6NLw09EwE0CqkOc4q9oUmW1yo/edit?usp=sharing"",""เชียงใหม่!J383"")"),0)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IFERROR(__xludf.DUMMYFUNCTION("IMPORTRANGE(""https://docs.google.com/spreadsheets/d/11923uPwbBZFjjGgGUA6NLw09EwE0CqkOc4q9oUmW1yo/edit?usp=sharing"",""เชียงใหม่!I384"")"),0)</f>
        <v>0</v>
      </c>
      <c r="J489" s="188">
        <f ca="1">IFERROR(__xludf.DUMMYFUNCTION("IMPORTRANGE(""https://docs.google.com/spreadsheets/d/11923uPwbBZFjjGgGUA6NLw09EwE0CqkOc4q9oUmW1yo/edit?usp=sharing"",""เชียงใหม่!J384"")"),0)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IFERROR(__xludf.DUMMYFUNCTION("IMPORTRANGE(""https://docs.google.com/spreadsheets/d/11923uPwbBZFjjGgGUA6NLw09EwE0CqkOc4q9oUmW1yo/edit?usp=sharing"",""เชียงใหม่!I385"")"),0)</f>
        <v>0</v>
      </c>
      <c r="J490" s="188">
        <f ca="1">IFERROR(__xludf.DUMMYFUNCTION("IMPORTRANGE(""https://docs.google.com/spreadsheets/d/11923uPwbBZFjjGgGUA6NLw09EwE0CqkOc4q9oUmW1yo/edit?usp=sharing"",""เชียงใหม่!J385"")"),0)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IFERROR(__xludf.DUMMYFUNCTION("IMPORTRANGE(""https://docs.google.com/spreadsheets/d/11923uPwbBZFjjGgGUA6NLw09EwE0CqkOc4q9oUmW1yo/edit?usp=sharing"",""เชียงใหม่!I386"")"),0)</f>
        <v>0</v>
      </c>
      <c r="J491" s="188">
        <f ca="1">IFERROR(__xludf.DUMMYFUNCTION("IMPORTRANGE(""https://docs.google.com/spreadsheets/d/11923uPwbBZFjjGgGUA6NLw09EwE0CqkOc4q9oUmW1yo/edit?usp=sharing"",""เชียงใหม่!J386"")"),0)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IFERROR(__xludf.DUMMYFUNCTION("IMPORTRANGE(""https://docs.google.com/spreadsheets/d/11923uPwbBZFjjGgGUA6NLw09EwE0CqkOc4q9oUmW1yo/edit?usp=sharing"",""เชียงใหม่!I387"")"),0)</f>
        <v>0</v>
      </c>
      <c r="J492" s="188">
        <f ca="1">IFERROR(__xludf.DUMMYFUNCTION("IMPORTRANGE(""https://docs.google.com/spreadsheets/d/11923uPwbBZFjjGgGUA6NLw09EwE0CqkOc4q9oUmW1yo/edit?usp=sharing"",""เชียงใหม่!J387"")"),0)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IFERROR(__xludf.DUMMYFUNCTION("IMPORTRANGE(""https://docs.google.com/spreadsheets/d/11923uPwbBZFjjGgGUA6NLw09EwE0CqkOc4q9oUmW1yo/edit?usp=sharing"",""เชียงใหม่!I388"")"),0)</f>
        <v>0</v>
      </c>
      <c r="J493" s="188">
        <f ca="1">IFERROR(__xludf.DUMMYFUNCTION("IMPORTRANGE(""https://docs.google.com/spreadsheets/d/11923uPwbBZFjjGgGUA6NLw09EwE0CqkOc4q9oUmW1yo/edit?usp=sharing"",""เชียงใหม่!J388"")"),0)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IFERROR(__xludf.DUMMYFUNCTION("IMPORTRANGE(""https://docs.google.com/spreadsheets/d/11923uPwbBZFjjGgGUA6NLw09EwE0CqkOc4q9oUmW1yo/edit?usp=sharing"",""เชียงใหม่!I389"")"),0)</f>
        <v>0</v>
      </c>
      <c r="J494" s="434">
        <f ca="1">IFERROR(__xludf.DUMMYFUNCTION("IMPORTRANGE(""https://docs.google.com/spreadsheets/d/11923uPwbBZFjjGgGUA6NLw09EwE0CqkOc4q9oUmW1yo/edit?usp=sharing"",""เชียงใหม่!J389"")"),0)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IFERROR(__xludf.DUMMYFUNCTION("IMPORTRANGE(""https://docs.google.com/spreadsheets/d/11923uPwbBZFjjGgGUA6NLw09EwE0CqkOc4q9oUmW1yo/edit?usp=sharing"",""เชียงใหม่!I390"")"),0)</f>
        <v>0</v>
      </c>
      <c r="J495" s="434">
        <f ca="1">IFERROR(__xludf.DUMMYFUNCTION("IMPORTRANGE(""https://docs.google.com/spreadsheets/d/11923uPwbBZFjjGgGUA6NLw09EwE0CqkOc4q9oUmW1yo/edit?usp=sharing"",""เชียงใหม่!J390"")"),0)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IFERROR(__xludf.DUMMYFUNCTION("IMPORTRANGE(""https://docs.google.com/spreadsheets/d/11923uPwbBZFjjGgGUA6NLw09EwE0CqkOc4q9oUmW1yo/edit?usp=sharing"",""เชียงใหม่!I391"")"),0)</f>
        <v>0</v>
      </c>
      <c r="J496" s="434">
        <f ca="1">IFERROR(__xludf.DUMMYFUNCTION("IMPORTRANGE(""https://docs.google.com/spreadsheets/d/11923uPwbBZFjjGgGUA6NLw09EwE0CqkOc4q9oUmW1yo/edit?usp=sharing"",""เชียงใหม่!J391"")"),0)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IFERROR(__xludf.DUMMYFUNCTION("IMPORTRANGE(""https://docs.google.com/spreadsheets/d/11923uPwbBZFjjGgGUA6NLw09EwE0CqkOc4q9oUmW1yo/edit?usp=sharing"",""เชียงใหม่!I392"")"),5091)</f>
        <v>5091</v>
      </c>
      <c r="J497" s="441">
        <f ca="1">IFERROR(__xludf.DUMMYFUNCTION("IMPORTRANGE(""https://docs.google.com/spreadsheets/d/11923uPwbBZFjjGgGUA6NLw09EwE0CqkOc4q9oUmW1yo/edit?usp=sharing"",""เชียงใหม่!J392"")"),1642.1)</f>
        <v>1642.1</v>
      </c>
      <c r="K497" s="442">
        <f t="shared" ca="1" si="117"/>
        <v>32.254959732861913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IFERROR(__xludf.DUMMYFUNCTION("IMPORTRANGE(""https://docs.google.com/spreadsheets/d/11923uPwbBZFjjGgGUA6NLw09EwE0CqkOc4q9oUmW1yo/edit?usp=sharing"",""เชียงใหม่!I393"")"),5091)</f>
        <v>5091</v>
      </c>
      <c r="J498" s="418">
        <f ca="1">IFERROR(__xludf.DUMMYFUNCTION("IMPORTRANGE(""https://docs.google.com/spreadsheets/d/11923uPwbBZFjjGgGUA6NLw09EwE0CqkOc4q9oUmW1yo/edit?usp=sharing"",""เชียงใหม่!J393"")"),1642.1)</f>
        <v>1642.1</v>
      </c>
      <c r="K498" s="163">
        <f t="shared" ca="1" si="117"/>
        <v>32.254959732861913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IFERROR(__xludf.DUMMYFUNCTION("IMPORTRANGE(""https://docs.google.com/spreadsheets/d/11923uPwbBZFjjGgGUA6NLw09EwE0CqkOc4q9oUmW1yo/edit?usp=sharing"",""เชียงใหม่!I394"")"),629)</f>
        <v>629</v>
      </c>
      <c r="J499" s="418">
        <f ca="1">IFERROR(__xludf.DUMMYFUNCTION("IMPORTRANGE(""https://docs.google.com/spreadsheets/d/11923uPwbBZFjjGgGUA6NLw09EwE0CqkOc4q9oUmW1yo/edit?usp=sharing"",""เชียงใหม่!J394"")"),196)</f>
        <v>196</v>
      </c>
      <c r="K499" s="201">
        <f t="shared" ca="1" si="117"/>
        <v>31.160572337042925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IFERROR(__xludf.DUMMYFUNCTION("IMPORTRANGE(""https://docs.google.com/spreadsheets/d/11923uPwbBZFjjGgGUA6NLw09EwE0CqkOc4q9oUmW1yo/edit?usp=sharing"",""เชียงใหม่!I395"")"),0)</f>
        <v>0</v>
      </c>
      <c r="J500" s="162">
        <f ca="1">IFERROR(__xludf.DUMMYFUNCTION("IMPORTRANGE(""https://docs.google.com/spreadsheets/d/11923uPwbBZFjjGgGUA6NLw09EwE0CqkOc4q9oUmW1yo/edit?usp=sharing"",""เชียงใหม่!J395"")"),1381)</f>
        <v>1381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IFERROR(__xludf.DUMMYFUNCTION("IMPORTRANGE(""https://docs.google.com/spreadsheets/d/11923uPwbBZFjjGgGUA6NLw09EwE0CqkOc4q9oUmW1yo/edit?usp=sharing"",""เชียงใหม่!I396"")"),0)</f>
        <v>0</v>
      </c>
      <c r="J501" s="162">
        <f ca="1">IFERROR(__xludf.DUMMYFUNCTION("IMPORTRANGE(""https://docs.google.com/spreadsheets/d/11923uPwbBZFjjGgGUA6NLw09EwE0CqkOc4q9oUmW1yo/edit?usp=sharing"",""เชียงใหม่!J396"")"),168)</f>
        <v>168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IFERROR(__xludf.DUMMYFUNCTION("IMPORTRANGE(""https://docs.google.com/spreadsheets/d/11923uPwbBZFjjGgGUA6NLw09EwE0CqkOc4q9oUmW1yo/edit?usp=sharing"",""เชียงใหม่!I397"")"),0)</f>
        <v>0</v>
      </c>
      <c r="J502" s="188">
        <f ca="1">IFERROR(__xludf.DUMMYFUNCTION("IMPORTRANGE(""https://docs.google.com/spreadsheets/d/11923uPwbBZFjjGgGUA6NLw09EwE0CqkOc4q9oUmW1yo/edit?usp=sharing"",""เชียงใหม่!J397"")"),482)</f>
        <v>482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IFERROR(__xludf.DUMMYFUNCTION("IMPORTRANGE(""https://docs.google.com/spreadsheets/d/11923uPwbBZFjjGgGUA6NLw09EwE0CqkOc4q9oUmW1yo/edit?usp=sharing"",""เชียงใหม่!I398"")"),0)</f>
        <v>0</v>
      </c>
      <c r="J503" s="197">
        <f ca="1">IFERROR(__xludf.DUMMYFUNCTION("IMPORTRANGE(""https://docs.google.com/spreadsheets/d/11923uPwbBZFjjGgGUA6NLw09EwE0CqkOc4q9oUmW1yo/edit?usp=sharing"",""เชียงใหม่!J398"")"),40)</f>
        <v>40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IFERROR(__xludf.DUMMYFUNCTION("IMPORTRANGE(""https://docs.google.com/spreadsheets/d/11923uPwbBZFjjGgGUA6NLw09EwE0CqkOc4q9oUmW1yo/edit?usp=sharing"",""เชียงใหม่!I399"")"),0)</f>
        <v>0</v>
      </c>
      <c r="J504" s="188">
        <f ca="1">IFERROR(__xludf.DUMMYFUNCTION("IMPORTRANGE(""https://docs.google.com/spreadsheets/d/11923uPwbBZFjjGgGUA6NLw09EwE0CqkOc4q9oUmW1yo/edit?usp=sharing"",""เชียงใหม่!J399"")"),899)</f>
        <v>899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IFERROR(__xludf.DUMMYFUNCTION("IMPORTRANGE(""https://docs.google.com/spreadsheets/d/11923uPwbBZFjjGgGUA6NLw09EwE0CqkOc4q9oUmW1yo/edit?usp=sharing"",""เชียงใหม่!I400"")"),0)</f>
        <v>0</v>
      </c>
      <c r="J505" s="197">
        <f ca="1">IFERROR(__xludf.DUMMYFUNCTION("IMPORTRANGE(""https://docs.google.com/spreadsheets/d/11923uPwbBZFjjGgGUA6NLw09EwE0CqkOc4q9oUmW1yo/edit?usp=sharing"",""เชียงใหม่!J400"")"),128)</f>
        <v>128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IFERROR(__xludf.DUMMYFUNCTION("IMPORTRANGE(""https://docs.google.com/spreadsheets/d/11923uPwbBZFjjGgGUA6NLw09EwE0CqkOc4q9oUmW1yo/edit?usp=sharing"",""เชียงใหม่!I401"")"),0)</f>
        <v>0</v>
      </c>
      <c r="J506" s="188">
        <f ca="1">IFERROR(__xludf.DUMMYFUNCTION("IMPORTRANGE(""https://docs.google.com/spreadsheets/d/11923uPwbBZFjjGgGUA6NLw09EwE0CqkOc4q9oUmW1yo/edit?usp=sharing"",""เชียงใหม่!J401"")"),0)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IFERROR(__xludf.DUMMYFUNCTION("IMPORTRANGE(""https://docs.google.com/spreadsheets/d/11923uPwbBZFjjGgGUA6NLw09EwE0CqkOc4q9oUmW1yo/edit?usp=sharing"",""เชียงใหม่!I402"")"),0)</f>
        <v>0</v>
      </c>
      <c r="J507" s="197">
        <f ca="1">IFERROR(__xludf.DUMMYFUNCTION("IMPORTRANGE(""https://docs.google.com/spreadsheets/d/11923uPwbBZFjjGgGUA6NLw09EwE0CqkOc4q9oUmW1yo/edit?usp=sharing"",""เชียงใหม่!J402"")"),0)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IFERROR(__xludf.DUMMYFUNCTION("IMPORTRANGE(""https://docs.google.com/spreadsheets/d/11923uPwbBZFjjGgGUA6NLw09EwE0CqkOc4q9oUmW1yo/edit?usp=sharing"",""เชียงใหม่!I403"")"),0)</f>
        <v>0</v>
      </c>
      <c r="J508" s="162">
        <f ca="1">IFERROR(__xludf.DUMMYFUNCTION("IMPORTRANGE(""https://docs.google.com/spreadsheets/d/11923uPwbBZFjjGgGUA6NLw09EwE0CqkOc4q9oUmW1yo/edit?usp=sharing"",""เชียงใหม่!J403"")"),13.1)</f>
        <v>13.1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IFERROR(__xludf.DUMMYFUNCTION("IMPORTRANGE(""https://docs.google.com/spreadsheets/d/11923uPwbBZFjjGgGUA6NLw09EwE0CqkOc4q9oUmW1yo/edit?usp=sharing"",""เชียงใหม่!I404"")"),0)</f>
        <v>0</v>
      </c>
      <c r="J509" s="162">
        <f ca="1">IFERROR(__xludf.DUMMYFUNCTION("IMPORTRANGE(""https://docs.google.com/spreadsheets/d/11923uPwbBZFjjGgGUA6NLw09EwE0CqkOc4q9oUmW1yo/edit?usp=sharing"",""เชียงใหม่!J404"")"),6)</f>
        <v>6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IFERROR(__xludf.DUMMYFUNCTION("IMPORTRANGE(""https://docs.google.com/spreadsheets/d/11923uPwbBZFjjGgGUA6NLw09EwE0CqkOc4q9oUmW1yo/edit?usp=sharing"",""เชียงใหม่!I405"")"),0)</f>
        <v>0</v>
      </c>
      <c r="J510" s="197">
        <f ca="1">IFERROR(__xludf.DUMMYFUNCTION("IMPORTRANGE(""https://docs.google.com/spreadsheets/d/11923uPwbBZFjjGgGUA6NLw09EwE0CqkOc4q9oUmW1yo/edit?usp=sharing"",""เชียงใหม่!J405"")"),0.1)</f>
        <v>0.1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IFERROR(__xludf.DUMMYFUNCTION("IMPORTRANGE(""https://docs.google.com/spreadsheets/d/11923uPwbBZFjjGgGUA6NLw09EwE0CqkOc4q9oUmW1yo/edit?usp=sharing"",""เชียงใหม่!I406"")"),0)</f>
        <v>0</v>
      </c>
      <c r="J511" s="197">
        <f ca="1">IFERROR(__xludf.DUMMYFUNCTION("IMPORTRANGE(""https://docs.google.com/spreadsheets/d/11923uPwbBZFjjGgGUA6NLw09EwE0CqkOc4q9oUmW1yo/edit?usp=sharing"",""เชียงใหม่!J406"")"),1)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IFERROR(__xludf.DUMMYFUNCTION("IMPORTRANGE(""https://docs.google.com/spreadsheets/d/11923uPwbBZFjjGgGUA6NLw09EwE0CqkOc4q9oUmW1yo/edit?usp=sharing"",""เชียงใหม่!I407"")"),0)</f>
        <v>0</v>
      </c>
      <c r="J512" s="197">
        <f ca="1">IFERROR(__xludf.DUMMYFUNCTION("IMPORTRANGE(""https://docs.google.com/spreadsheets/d/11923uPwbBZFjjGgGUA6NLw09EwE0CqkOc4q9oUmW1yo/edit?usp=sharing"",""เชียงใหม่!J407"")"),13)</f>
        <v>13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IFERROR(__xludf.DUMMYFUNCTION("IMPORTRANGE(""https://docs.google.com/spreadsheets/d/11923uPwbBZFjjGgGUA6NLw09EwE0CqkOc4q9oUmW1yo/edit?usp=sharing"",""เชียงใหม่!I408"")"),0)</f>
        <v>0</v>
      </c>
      <c r="J513" s="197">
        <f ca="1">IFERROR(__xludf.DUMMYFUNCTION("IMPORTRANGE(""https://docs.google.com/spreadsheets/d/11923uPwbBZFjjGgGUA6NLw09EwE0CqkOc4q9oUmW1yo/edit?usp=sharing"",""เชียงใหม่!J408"")"),5)</f>
        <v>5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IFERROR(__xludf.DUMMYFUNCTION("IMPORTRANGE(""https://docs.google.com/spreadsheets/d/11923uPwbBZFjjGgGUA6NLw09EwE0CqkOc4q9oUmW1yo/edit?usp=sharing"",""เชียงใหม่!I409"")"),0)</f>
        <v>0</v>
      </c>
      <c r="J514" s="197">
        <f ca="1">IFERROR(__xludf.DUMMYFUNCTION("IMPORTRANGE(""https://docs.google.com/spreadsheets/d/11923uPwbBZFjjGgGUA6NLw09EwE0CqkOc4q9oUmW1yo/edit?usp=sharing"",""เชียงใหม่!J409"")"),248)</f>
        <v>248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IFERROR(__xludf.DUMMYFUNCTION("IMPORTRANGE(""https://docs.google.com/spreadsheets/d/11923uPwbBZFjjGgGUA6NLw09EwE0CqkOc4q9oUmW1yo/edit?usp=sharing"",""เชียงใหม่!I410"")"),0)</f>
        <v>0</v>
      </c>
      <c r="J515" s="197">
        <f ca="1">IFERROR(__xludf.DUMMYFUNCTION("IMPORTRANGE(""https://docs.google.com/spreadsheets/d/11923uPwbBZFjjGgGUA6NLw09EwE0CqkOc4q9oUmW1yo/edit?usp=sharing"",""เชียงใหม่!J410"")"),22)</f>
        <v>22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IFERROR(__xludf.DUMMYFUNCTION("IMPORTRANGE(""https://docs.google.com/spreadsheets/d/11923uPwbBZFjjGgGUA6NLw09EwE0CqkOc4q9oUmW1yo/edit?usp=sharing"",""เชียงใหม่!I411"")"),0)</f>
        <v>0</v>
      </c>
      <c r="J516" s="266">
        <f ca="1">IFERROR(__xludf.DUMMYFUNCTION("IMPORTRANGE(""https://docs.google.com/spreadsheets/d/11923uPwbBZFjjGgGUA6NLw09EwE0CqkOc4q9oUmW1yo/edit?usp=sharing"",""เชียงใหม่!J411"")"),0)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IFERROR(__xludf.DUMMYFUNCTION("IMPORTRANGE(""https://docs.google.com/spreadsheets/d/11923uPwbBZFjjGgGUA6NLw09EwE0CqkOc4q9oUmW1yo/edit?usp=sharing"",""เชียงใหม่!I412"")"),0)</f>
        <v>0</v>
      </c>
      <c r="J517" s="282">
        <f ca="1">IFERROR(__xludf.DUMMYFUNCTION("IMPORTRANGE(""https://docs.google.com/spreadsheets/d/11923uPwbBZFjjGgGUA6NLw09EwE0CqkOc4q9oUmW1yo/edit?usp=sharing"",""เชียงใหม่!J412"")"),0)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IFERROR(__xludf.DUMMYFUNCTION("IMPORTRANGE(""https://docs.google.com/spreadsheets/d/11923uPwbBZFjjGgGUA6NLw09EwE0CqkOc4q9oUmW1yo/edit?usp=sharing"",""เชียงใหม่!I413"")"),0)</f>
        <v>0</v>
      </c>
      <c r="J518" s="282">
        <f ca="1">IFERROR(__xludf.DUMMYFUNCTION("IMPORTRANGE(""https://docs.google.com/spreadsheets/d/11923uPwbBZFjjGgGUA6NLw09EwE0CqkOc4q9oUmW1yo/edit?usp=sharing"",""เชียงใหม่!J413"")"),0)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IFERROR(__xludf.DUMMYFUNCTION("IMPORTRANGE(""https://docs.google.com/spreadsheets/d/11923uPwbBZFjjGgGUA6NLw09EwE0CqkOc4q9oUmW1yo/edit?usp=sharing"",""เชียงใหม่!I414"")"),0)</f>
        <v>0</v>
      </c>
      <c r="J519" s="187">
        <f ca="1">IFERROR(__xludf.DUMMYFUNCTION("IMPORTRANGE(""https://docs.google.com/spreadsheets/d/11923uPwbBZFjjGgGUA6NLw09EwE0CqkOc4q9oUmW1yo/edit?usp=sharing"",""เชียงใหม่!J414"")"),0)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IFERROR(__xludf.DUMMYFUNCTION("IMPORTRANGE(""https://docs.google.com/spreadsheets/d/11923uPwbBZFjjGgGUA6NLw09EwE0CqkOc4q9oUmW1yo/edit?usp=sharing"",""เชียงใหม่!I415"")"),0)</f>
        <v>0</v>
      </c>
      <c r="J520" s="187">
        <f ca="1">IFERROR(__xludf.DUMMYFUNCTION("IMPORTRANGE(""https://docs.google.com/spreadsheets/d/11923uPwbBZFjjGgGUA6NLw09EwE0CqkOc4q9oUmW1yo/edit?usp=sharing"",""เชียงใหม่!J415"")"),0)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IFERROR(__xludf.DUMMYFUNCTION("IMPORTRANGE(""https://docs.google.com/spreadsheets/d/11923uPwbBZFjjGgGUA6NLw09EwE0CqkOc4q9oUmW1yo/edit?usp=sharing"",""เชียงใหม่!I416"")"),0)</f>
        <v>0</v>
      </c>
      <c r="J521" s="187">
        <f ca="1">IFERROR(__xludf.DUMMYFUNCTION("IMPORTRANGE(""https://docs.google.com/spreadsheets/d/11923uPwbBZFjjGgGUA6NLw09EwE0CqkOc4q9oUmW1yo/edit?usp=sharing"",""เชียงใหม่!J416"")"),0)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IFERROR(__xludf.DUMMYFUNCTION("IMPORTRANGE(""https://docs.google.com/spreadsheets/d/11923uPwbBZFjjGgGUA6NLw09EwE0CqkOc4q9oUmW1yo/edit?usp=sharing"",""เชียงใหม่!I417"")"),0)</f>
        <v>0</v>
      </c>
      <c r="J522" s="187">
        <f ca="1">IFERROR(__xludf.DUMMYFUNCTION("IMPORTRANGE(""https://docs.google.com/spreadsheets/d/11923uPwbBZFjjGgGUA6NLw09EwE0CqkOc4q9oUmW1yo/edit?usp=sharing"",""เชียงใหม่!J417"")"),0)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IFERROR(__xludf.DUMMYFUNCTION("IMPORTRANGE(""https://docs.google.com/spreadsheets/d/11923uPwbBZFjjGgGUA6NLw09EwE0CqkOc4q9oUmW1yo/edit?usp=sharing"",""เชียงใหม่!I418"")"),0)</f>
        <v>0</v>
      </c>
      <c r="J523" s="187">
        <f ca="1">IFERROR(__xludf.DUMMYFUNCTION("IMPORTRANGE(""https://docs.google.com/spreadsheets/d/11923uPwbBZFjjGgGUA6NLw09EwE0CqkOc4q9oUmW1yo/edit?usp=sharing"",""เชียงใหม่!J418"")"),59)</f>
        <v>59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IFERROR(__xludf.DUMMYFUNCTION("IMPORTRANGE(""https://docs.google.com/spreadsheets/d/11923uPwbBZFjjGgGUA6NLw09EwE0CqkOc4q9oUmW1yo/edit?usp=sharing"",""เชียงใหม่!I419"")"),0)</f>
        <v>0</v>
      </c>
      <c r="J524" s="187">
        <f ca="1">IFERROR(__xludf.DUMMYFUNCTION("IMPORTRANGE(""https://docs.google.com/spreadsheets/d/11923uPwbBZFjjGgGUA6NLw09EwE0CqkOc4q9oUmW1yo/edit?usp=sharing"",""เชียงใหม่!J419"")"),15)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IFERROR(__xludf.DUMMYFUNCTION("IMPORTRANGE(""https://docs.google.com/spreadsheets/d/11923uPwbBZFjjGgGUA6NLw09EwE0CqkOc4q9oUmW1yo/edit?usp=sharing"",""เชียงใหม่!I420"")"),59)</f>
        <v>59</v>
      </c>
      <c r="J525" s="282">
        <f ca="1">IFERROR(__xludf.DUMMYFUNCTION("IMPORTRANGE(""https://docs.google.com/spreadsheets/d/11923uPwbBZFjjGgGUA6NLw09EwE0CqkOc4q9oUmW1yo/edit?usp=sharing"",""เชียงใหม่!J420"")"),0)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IFERROR(__xludf.DUMMYFUNCTION("IMPORTRANGE(""https://docs.google.com/spreadsheets/d/11923uPwbBZFjjGgGUA6NLw09EwE0CqkOc4q9oUmW1yo/edit?usp=sharing"",""เชียงใหม่!I421"")"),15)</f>
        <v>15</v>
      </c>
      <c r="J526" s="282">
        <f ca="1">IFERROR(__xludf.DUMMYFUNCTION("IMPORTRANGE(""https://docs.google.com/spreadsheets/d/11923uPwbBZFjjGgGUA6NLw09EwE0CqkOc4q9oUmW1yo/edit?usp=sharing"",""เชียงใหม่!J421"")"),0)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IFERROR(__xludf.DUMMYFUNCTION("IMPORTRANGE(""https://docs.google.com/spreadsheets/d/11923uPwbBZFjjGgGUA6NLw09EwE0CqkOc4q9oUmW1yo/edit?usp=sharing"",""เชียงใหม่!I422"")"),0)</f>
        <v>0</v>
      </c>
      <c r="J527" s="197">
        <f ca="1">IFERROR(__xludf.DUMMYFUNCTION("IMPORTRANGE(""https://docs.google.com/spreadsheets/d/11923uPwbBZFjjGgGUA6NLw09EwE0CqkOc4q9oUmW1yo/edit?usp=sharing"",""เชียงใหม่!J422"")"),0)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IFERROR(__xludf.DUMMYFUNCTION("IMPORTRANGE(""https://docs.google.com/spreadsheets/d/11923uPwbBZFjjGgGUA6NLw09EwE0CqkOc4q9oUmW1yo/edit?usp=sharing"",""เชียงใหม่!I423"")"),0)</f>
        <v>0</v>
      </c>
      <c r="J528" s="197">
        <f ca="1">IFERROR(__xludf.DUMMYFUNCTION("IMPORTRANGE(""https://docs.google.com/spreadsheets/d/11923uPwbBZFjjGgGUA6NLw09EwE0CqkOc4q9oUmW1yo/edit?usp=sharing"",""เชียงใหม่!J423"")"),0)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IFERROR(__xludf.DUMMYFUNCTION("IMPORTRANGE(""https://docs.google.com/spreadsheets/d/11923uPwbBZFjjGgGUA6NLw09EwE0CqkOc4q9oUmW1yo/edit?usp=sharing"",""เชียงใหม่!I424"")"),0)</f>
        <v>0</v>
      </c>
      <c r="J529" s="197">
        <f ca="1">IFERROR(__xludf.DUMMYFUNCTION("IMPORTRANGE(""https://docs.google.com/spreadsheets/d/11923uPwbBZFjjGgGUA6NLw09EwE0CqkOc4q9oUmW1yo/edit?usp=sharing"",""เชียงใหม่!J424"")"),0)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IFERROR(__xludf.DUMMYFUNCTION("IMPORTRANGE(""https://docs.google.com/spreadsheets/d/11923uPwbBZFjjGgGUA6NLw09EwE0CqkOc4q9oUmW1yo/edit?usp=sharing"",""เชียงใหม่!I425"")"),0)</f>
        <v>0</v>
      </c>
      <c r="J530" s="197">
        <f ca="1">IFERROR(__xludf.DUMMYFUNCTION("IMPORTRANGE(""https://docs.google.com/spreadsheets/d/11923uPwbBZFjjGgGUA6NLw09EwE0CqkOc4q9oUmW1yo/edit?usp=sharing"",""เชียงใหม่!J425"")"),0)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IFERROR(__xludf.DUMMYFUNCTION("IMPORTRANGE(""https://docs.google.com/spreadsheets/d/11923uPwbBZFjjGgGUA6NLw09EwE0CqkOc4q9oUmW1yo/edit?usp=sharing"",""เชียงใหม่!I426"")"),0)</f>
        <v>0</v>
      </c>
      <c r="J531" s="197">
        <f ca="1">IFERROR(__xludf.DUMMYFUNCTION("IMPORTRANGE(""https://docs.google.com/spreadsheets/d/11923uPwbBZFjjGgGUA6NLw09EwE0CqkOc4q9oUmW1yo/edit?usp=sharing"",""เชียงใหม่!J426"")"),0)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IFERROR(__xludf.DUMMYFUNCTION("IMPORTRANGE(""https://docs.google.com/spreadsheets/d/11923uPwbBZFjjGgGUA6NLw09EwE0CqkOc4q9oUmW1yo/edit?usp=sharing"",""เชียงใหม่!I427"")"),0)</f>
        <v>0</v>
      </c>
      <c r="J532" s="464">
        <f ca="1">IFERROR(__xludf.DUMMYFUNCTION("IMPORTRANGE(""https://docs.google.com/spreadsheets/d/11923uPwbBZFjjGgGUA6NLw09EwE0CqkOc4q9oUmW1yo/edit?usp=sharing"",""เชียงใหม่!J427"")"),0)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IFERROR(__xludf.DUMMYFUNCTION("IMPORTRANGE(""https://docs.google.com/spreadsheets/d/11923uPwbBZFjjGgGUA6NLw09EwE0CqkOc4q9oUmW1yo/edit?usp=sharing"",""เชียงใหม่!I428"")"),26)</f>
        <v>26</v>
      </c>
      <c r="J533" s="408">
        <f ca="1">IFERROR(__xludf.DUMMYFUNCTION("IMPORTRANGE(""https://docs.google.com/spreadsheets/d/11923uPwbBZFjjGgGUA6NLw09EwE0CqkOc4q9oUmW1yo/edit?usp=sharing"",""เชียงใหม่!J428"")"),26)</f>
        <v>26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IFERROR(__xludf.DUMMYFUNCTION("IMPORTRANGE(""https://docs.google.com/spreadsheets/d/11923uPwbBZFjjGgGUA6NLw09EwE0CqkOc4q9oUmW1yo/edit?usp=sharing"",""เชียงใหม่!L428"")"),37740)</f>
        <v>37740</v>
      </c>
      <c r="M533" s="410"/>
      <c r="N533" s="410">
        <f ca="1">IFERROR(__xludf.DUMMYFUNCTION("IMPORTRANGE(""https://docs.google.com/spreadsheets/d/11923uPwbBZFjjGgGUA6NLw09EwE0CqkOc4q9oUmW1yo/edit?usp=sharing"",""เชียงใหม่!M428"")"),26444)</f>
        <v>26444</v>
      </c>
      <c r="O533" s="410">
        <f t="shared" ref="O533:O537" ca="1" si="118">+IF(L533&gt;0,N533*100/L533,0)</f>
        <v>70.068892421833596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IFERROR(__xludf.DUMMYFUNCTION("IMPORTRANGE(""https://docs.google.com/spreadsheets/d/11923uPwbBZFjjGgGUA6NLw09EwE0CqkOc4q9oUmW1yo/edit?usp=sharing"",""เชียงใหม่!L429"")"),0)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IFERROR(__xludf.DUMMYFUNCTION("IMPORTRANGE(""https://docs.google.com/spreadsheets/d/11923uPwbBZFjjGgGUA6NLw09EwE0CqkOc4q9oUmW1yo/edit?usp=sharing"",""เชียงใหม่!M429"")"),0)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IFERROR(__xludf.DUMMYFUNCTION("IMPORTRANGE(""https://docs.google.com/spreadsheets/d/11923uPwbBZFjjGgGUA6NLw09EwE0CqkOc4q9oUmW1yo/edit?usp=sharing"",""เชียงใหม่!L430"")"),37740)</f>
        <v>37740</v>
      </c>
      <c r="M535" s="165"/>
      <c r="N535" s="168">
        <f ca="1">IFERROR(__xludf.DUMMYFUNCTION("IMPORTRANGE(""https://docs.google.com/spreadsheets/d/11923uPwbBZFjjGgGUA6NLw09EwE0CqkOc4q9oUmW1yo/edit?usp=sharing"",""เชียงใหม่!M430"")"),26444)</f>
        <v>26444</v>
      </c>
      <c r="O535" s="168">
        <f t="shared" ca="1" si="118"/>
        <v>70.068892421833596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IFERROR(__xludf.DUMMYFUNCTION("IMPORTRANGE(""https://docs.google.com/spreadsheets/d/11923uPwbBZFjjGgGUA6NLw09EwE0CqkOc4q9oUmW1yo/edit?usp=sharing"",""เชียงใหม่!L431"")"),0)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IFERROR(__xludf.DUMMYFUNCTION("IMPORTRANGE(""https://docs.google.com/spreadsheets/d/11923uPwbBZFjjGgGUA6NLw09EwE0CqkOc4q9oUmW1yo/edit?usp=sharing"",""เชียงใหม่!M431"")"),0)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IFERROR(__xludf.DUMMYFUNCTION("IMPORTRANGE(""https://docs.google.com/spreadsheets/d/11923uPwbBZFjjGgGUA6NLw09EwE0CqkOc4q9oUmW1yo/edit?usp=sharing"",""เชียงใหม่!L432"")"),37740)</f>
        <v>37740</v>
      </c>
      <c r="M537" s="168"/>
      <c r="N537" s="168">
        <f ca="1">IFERROR(__xludf.DUMMYFUNCTION("IMPORTRANGE(""https://docs.google.com/spreadsheets/d/11923uPwbBZFjjGgGUA6NLw09EwE0CqkOc4q9oUmW1yo/edit?usp=sharing"",""เชียงใหม่!M432"")"),26444)</f>
        <v>26444</v>
      </c>
      <c r="O537" s="168">
        <f t="shared" ca="1" si="118"/>
        <v>70.068892421833596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IFERROR(__xludf.DUMMYFUNCTION("IMPORTRANGE(""https://docs.google.com/spreadsheets/d/11923uPwbBZFjjGgGUA6NLw09EwE0CqkOc4q9oUmW1yo/edit?usp=sharing"",""เชียงใหม่!M433"")"),20904)</f>
        <v>20904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IFERROR(__xludf.DUMMYFUNCTION("IMPORTRANGE(""https://docs.google.com/spreadsheets/d/11923uPwbBZFjjGgGUA6NLw09EwE0CqkOc4q9oUmW1yo/edit?usp=sharing"",""เชียงใหม่!M434"")"),0)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IFERROR(__xludf.DUMMYFUNCTION("IMPORTRANGE(""https://docs.google.com/spreadsheets/d/11923uPwbBZFjjGgGUA6NLw09EwE0CqkOc4q9oUmW1yo/edit?usp=sharing"",""เชียงใหม่!M435"")"),0)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IFERROR(__xludf.DUMMYFUNCTION("IMPORTRANGE(""https://docs.google.com/spreadsheets/d/11923uPwbBZFjjGgGUA6NLw09EwE0CqkOc4q9oUmW1yo/edit?usp=sharing"",""เชียงใหม่!M436"")"),5540)</f>
        <v>5540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IFERROR(__xludf.DUMMYFUNCTION("IMPORTRANGE(""https://docs.google.com/spreadsheets/d/11923uPwbBZFjjGgGUA6NLw09EwE0CqkOc4q9oUmW1yo/edit?usp=sharing"",""เชียงใหม่!J438"")"),0)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IFERROR(__xludf.DUMMYFUNCTION("IMPORTRANGE(""https://docs.google.com/spreadsheets/d/11923uPwbBZFjjGgGUA6NLw09EwE0CqkOc4q9oUmW1yo/edit?usp=sharing"",""เชียงใหม่!J439"")"),1)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IFERROR(__xludf.DUMMYFUNCTION("IMPORTRANGE(""https://docs.google.com/spreadsheets/d/11923uPwbBZFjjGgGUA6NLw09EwE0CqkOc4q9oUmW1yo/edit?usp=sharing"",""เชียงใหม่!J440"")"),1)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IFERROR(__xludf.DUMMYFUNCTION("IMPORTRANGE(""https://docs.google.com/spreadsheets/d/11923uPwbBZFjjGgGUA6NLw09EwE0CqkOc4q9oUmW1yo/edit?usp=sharing"",""เชียงใหม่!J441"")"),1)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IFERROR(__xludf.DUMMYFUNCTION("IMPORTRANGE(""https://docs.google.com/spreadsheets/d/11923uPwbBZFjjGgGUA6NLw09EwE0CqkOc4q9oUmW1yo/edit?usp=sharing"",""เชียงใหม่!I442"")"),26)</f>
        <v>26</v>
      </c>
      <c r="J547" s="188">
        <f ca="1">IFERROR(__xludf.DUMMYFUNCTION("IMPORTRANGE(""https://docs.google.com/spreadsheets/d/11923uPwbBZFjjGgGUA6NLw09EwE0CqkOc4q9oUmW1yo/edit?usp=sharing"",""เชียงใหม่!J442"")"),26)</f>
        <v>26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IFERROR(__xludf.DUMMYFUNCTION("IMPORTRANGE(""https://docs.google.com/spreadsheets/d/11923uPwbBZFjjGgGUA6NLw09EwE0CqkOc4q9oUmW1yo/edit?usp=sharing"",""เชียงใหม่!J166"")"),0)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IFERROR(__xludf.DUMMYFUNCTION("IMPORTRANGE(""https://docs.google.com/spreadsheets/d/11923uPwbBZFjjGgGUA6NLw09EwE0CqkOc4q9oUmW1yo/edit?usp=sharing"",""เชียงใหม่!J444"")"),0)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IFERROR(__xludf.DUMMYFUNCTION("IMPORTRANGE(""https://docs.google.com/spreadsheets/d/11923uPwbBZFjjGgGUA6NLw09EwE0CqkOc4q9oUmW1yo/edit?usp=sharing"",""เชียงใหม่!J445"")"),0)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IFERROR(__xludf.DUMMYFUNCTION("IMPORTRANGE(""https://docs.google.com/spreadsheets/d/11923uPwbBZFjjGgGUA6NLw09EwE0CqkOc4q9oUmW1yo/edit?usp=sharing"",""เชียงใหม่!I446"")"),3000)</f>
        <v>3000</v>
      </c>
      <c r="J551" s="408">
        <f ca="1">IFERROR(__xludf.DUMMYFUNCTION("IMPORTRANGE(""https://docs.google.com/spreadsheets/d/11923uPwbBZFjjGgGUA6NLw09EwE0CqkOc4q9oUmW1yo/edit?usp=sharing"",""เชียงใหม่!J446"")"),820)</f>
        <v>820</v>
      </c>
      <c r="K551" s="409">
        <f ca="1">IF(I551&gt;0,J551*100/I551,0)</f>
        <v>27.333333333333332</v>
      </c>
      <c r="L551" s="410">
        <f ca="1">IFERROR(__xludf.DUMMYFUNCTION("IMPORTRANGE(""https://docs.google.com/spreadsheets/d/11923uPwbBZFjjGgGUA6NLw09EwE0CqkOc4q9oUmW1yo/edit?usp=sharing"",""เชียงใหม่!L446"")"),188000)</f>
        <v>188000</v>
      </c>
      <c r="M551" s="410"/>
      <c r="N551" s="410">
        <f ca="1">IFERROR(__xludf.DUMMYFUNCTION("IMPORTRANGE(""https://docs.google.com/spreadsheets/d/11923uPwbBZFjjGgGUA6NLw09EwE0CqkOc4q9oUmW1yo/edit?usp=sharing"",""เชียงใหม่!M446"")"),46199.3)</f>
        <v>46199.3</v>
      </c>
      <c r="O551" s="410">
        <f t="shared" ref="O551:O555" ca="1" si="120">+IF(L551&gt;0,N551*100/L551,0)</f>
        <v>24.57409574468085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IFERROR(__xludf.DUMMYFUNCTION("IMPORTRANGE(""https://docs.google.com/spreadsheets/d/11923uPwbBZFjjGgGUA6NLw09EwE0CqkOc4q9oUmW1yo/edit?usp=sharing"",""เชียงใหม่!L447"")"),0)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IFERROR(__xludf.DUMMYFUNCTION("IMPORTRANGE(""https://docs.google.com/spreadsheets/d/11923uPwbBZFjjGgGUA6NLw09EwE0CqkOc4q9oUmW1yo/edit?usp=sharing"",""เชียงใหม่!M447"")"),0)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IFERROR(__xludf.DUMMYFUNCTION("IMPORTRANGE(""https://docs.google.com/spreadsheets/d/11923uPwbBZFjjGgGUA6NLw09EwE0CqkOc4q9oUmW1yo/edit?usp=sharing"",""เชียงใหม่!L448"")"),188000)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IFERROR(__xludf.DUMMYFUNCTION("IMPORTRANGE(""https://docs.google.com/spreadsheets/d/11923uPwbBZFjjGgGUA6NLw09EwE0CqkOc4q9oUmW1yo/edit?usp=sharing"",""เชียงใหม่!M448"")"),46199.3)</f>
        <v>46199.3</v>
      </c>
      <c r="O553" s="168">
        <f t="shared" ca="1" si="120"/>
        <v>24.57409574468085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IFERROR(__xludf.DUMMYFUNCTION("IMPORTRANGE(""https://docs.google.com/spreadsheets/d/11923uPwbBZFjjGgGUA6NLw09EwE0CqkOc4q9oUmW1yo/edit?usp=sharing"",""เชียงใหม่!L449"")"),0)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IFERROR(__xludf.DUMMYFUNCTION("IMPORTRANGE(""https://docs.google.com/spreadsheets/d/11923uPwbBZFjjGgGUA6NLw09EwE0CqkOc4q9oUmW1yo/edit?usp=sharing"",""เชียงใหม่!M449"")"),0)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IFERROR(__xludf.DUMMYFUNCTION("IMPORTRANGE(""https://docs.google.com/spreadsheets/d/11923uPwbBZFjjGgGUA6NLw09EwE0CqkOc4q9oUmW1yo/edit?usp=sharing"",""เชียงใหม่!L450"")"),188000)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IFERROR(__xludf.DUMMYFUNCTION("IMPORTRANGE(""https://docs.google.com/spreadsheets/d/11923uPwbBZFjjGgGUA6NLw09EwE0CqkOc4q9oUmW1yo/edit?usp=sharing"",""เชียงใหม่!M450"")"),46199.3)</f>
        <v>46199.3</v>
      </c>
      <c r="O555" s="168">
        <f t="shared" ca="1" si="120"/>
        <v>24.57409574468085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IFERROR(__xludf.DUMMYFUNCTION("IMPORTRANGE(""https://docs.google.com/spreadsheets/d/11923uPwbBZFjjGgGUA6NLw09EwE0CqkOc4q9oUmW1yo/edit?usp=sharing"",""เชียงใหม่!M451"")"),0)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IFERROR(__xludf.DUMMYFUNCTION("IMPORTRANGE(""https://docs.google.com/spreadsheets/d/11923uPwbBZFjjGgGUA6NLw09EwE0CqkOc4q9oUmW1yo/edit?usp=sharing"",""เชียงใหม่!M452"")"),0)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IFERROR(__xludf.DUMMYFUNCTION("IMPORTRANGE(""https://docs.google.com/spreadsheets/d/11923uPwbBZFjjGgGUA6NLw09EwE0CqkOc4q9oUmW1yo/edit?usp=sharing"",""เชียงใหม่!M453"")"),10000)</f>
        <v>10000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IFERROR(__xludf.DUMMYFUNCTION("IMPORTRANGE(""https://docs.google.com/spreadsheets/d/11923uPwbBZFjjGgGUA6NLw09EwE0CqkOc4q9oUmW1yo/edit?usp=sharing"",""เชียงใหม่!M454"")"),36199.3)</f>
        <v>36199.300000000003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IFERROR(__xludf.DUMMYFUNCTION("IMPORTRANGE(""https://docs.google.com/spreadsheets/d/11923uPwbBZFjjGgGUA6NLw09EwE0CqkOc4q9oUmW1yo/edit?usp=sharing"",""เชียงใหม่!I455"")"),3000)</f>
        <v>3000</v>
      </c>
      <c r="J560" s="162">
        <f ca="1">IFERROR(__xludf.DUMMYFUNCTION("IMPORTRANGE(""https://docs.google.com/spreadsheets/d/11923uPwbBZFjjGgGUA6NLw09EwE0CqkOc4q9oUmW1yo/edit?usp=sharing"",""เชียงใหม่!J455"")"),820)</f>
        <v>820</v>
      </c>
      <c r="K560" s="223">
        <f t="shared" ref="K560:K564" ca="1" si="121">IF(I560&gt;0,J560*100/I560,0)</f>
        <v>27.333333333333332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IFERROR(__xludf.DUMMYFUNCTION("IMPORTRANGE(""https://docs.google.com/spreadsheets/d/11923uPwbBZFjjGgGUA6NLw09EwE0CqkOc4q9oUmW1yo/edit?usp=sharing"",""เชียงใหม่!I456"")"),0)</f>
        <v>0</v>
      </c>
      <c r="J561" s="203">
        <f ca="1">IFERROR(__xludf.DUMMYFUNCTION("IMPORTRANGE(""https://docs.google.com/spreadsheets/d/11923uPwbBZFjjGgGUA6NLw09EwE0CqkOc4q9oUmW1yo/edit?usp=sharing"",""เชียงใหม่!J456"")"),164)</f>
        <v>164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f ca="1">IFERROR(__xludf.DUMMYFUNCTION("IMPORTRANGE(""https://docs.google.com/spreadsheets/d/11923uPwbBZFjjGgGUA6NLw09EwE0CqkOc4q9oUmW1yo/edit?usp=sharing"",""เชียงใหม่!I457"")"),0)</f>
        <v>0</v>
      </c>
      <c r="J562" s="203" t="str">
        <f ca="1">IFERROR(__xludf.DUMMYFUNCTION("IMPORTRANGE(""https://docs.google.com/spreadsheets/d/11923uPwbBZFjjGgGUA6NLw09EwE0CqkOc4q9oUmW1yo/edit?usp=sharing"",""เชียงใหม่!J457"")"),"")</f>
        <v/>
      </c>
      <c r="K562" s="163">
        <f t="shared" ca="1" si="121"/>
        <v>0</v>
      </c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f ca="1">IFERROR(__xludf.DUMMYFUNCTION("IMPORTRANGE(""https://docs.google.com/spreadsheets/d/11923uPwbBZFjjGgGUA6NLw09EwE0CqkOc4q9oUmW1yo/edit?usp=sharing"",""เชียงใหม่!I458"")"),0)</f>
        <v>0</v>
      </c>
      <c r="J563" s="187" t="str">
        <f ca="1">IFERROR(__xludf.DUMMYFUNCTION("IMPORTRANGE(""https://docs.google.com/spreadsheets/d/11923uPwbBZFjjGgGUA6NLw09EwE0CqkOc4q9oUmW1yo/edit?usp=sharing"",""เชียงใหม่!J458"")"),"")</f>
        <v/>
      </c>
      <c r="K563" s="163">
        <f t="shared" ca="1" si="121"/>
        <v>0</v>
      </c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IFERROR(__xludf.DUMMYFUNCTION("IMPORTRANGE(""https://docs.google.com/spreadsheets/d/11923uPwbBZFjjGgGUA6NLw09EwE0CqkOc4q9oUmW1yo/edit?usp=sharing"",""เชียงใหม่!I459"")"),1000)</f>
        <v>1000</v>
      </c>
      <c r="J564" s="369">
        <f ca="1">IFERROR(__xludf.DUMMYFUNCTION("IMPORTRANGE(""https://docs.google.com/spreadsheets/d/11923uPwbBZFjjGgGUA6NLw09EwE0CqkOc4q9oUmW1yo/edit?usp=sharing"",""เชียงใหม่!J459"")"),686)</f>
        <v>686</v>
      </c>
      <c r="K564" s="370">
        <f t="shared" ca="1" si="121"/>
        <v>68.599999999999994</v>
      </c>
      <c r="L564" s="371">
        <f ca="1">IFERROR(__xludf.DUMMYFUNCTION("IMPORTRANGE(""https://docs.google.com/spreadsheets/d/11923uPwbBZFjjGgGUA6NLw09EwE0CqkOc4q9oUmW1yo/edit?usp=sharing"",""เชียงใหม่!L459"")"),130880)</f>
        <v>130880</v>
      </c>
      <c r="M564" s="371"/>
      <c r="N564" s="371">
        <f ca="1">IFERROR(__xludf.DUMMYFUNCTION("IMPORTRANGE(""https://docs.google.com/spreadsheets/d/11923uPwbBZFjjGgGUA6NLw09EwE0CqkOc4q9oUmW1yo/edit?usp=sharing"",""เชียงใหม่!M459"")"),27295.24)</f>
        <v>27295.24</v>
      </c>
      <c r="O564" s="371">
        <f t="shared" ref="O564:O568" ca="1" si="122">+IF(L564&gt;0,N564*100/L564,0)</f>
        <v>20.855165036674816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IFERROR(__xludf.DUMMYFUNCTION("IMPORTRANGE(""https://docs.google.com/spreadsheets/d/11923uPwbBZFjjGgGUA6NLw09EwE0CqkOc4q9oUmW1yo/edit?usp=sharing"",""เชียงใหม่!L460"")"),0)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IFERROR(__xludf.DUMMYFUNCTION("IMPORTRANGE(""https://docs.google.com/spreadsheets/d/11923uPwbBZFjjGgGUA6NLw09EwE0CqkOc4q9oUmW1yo/edit?usp=sharing"",""เชียงใหม่!M460"")"),0)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IFERROR(__xludf.DUMMYFUNCTION("IMPORTRANGE(""https://docs.google.com/spreadsheets/d/11923uPwbBZFjjGgGUA6NLw09EwE0CqkOc4q9oUmW1yo/edit?usp=sharing"",""เชียงใหม่!L461"")"),130880)</f>
        <v>130880</v>
      </c>
      <c r="M566" s="165"/>
      <c r="N566" s="168">
        <f ca="1">IFERROR(__xludf.DUMMYFUNCTION("IMPORTRANGE(""https://docs.google.com/spreadsheets/d/11923uPwbBZFjjGgGUA6NLw09EwE0CqkOc4q9oUmW1yo/edit?usp=sharing"",""เชียงใหม่!M461"")"),27295.24)</f>
        <v>27295.24</v>
      </c>
      <c r="O566" s="168">
        <f t="shared" ca="1" si="122"/>
        <v>20.855165036674816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IFERROR(__xludf.DUMMYFUNCTION("IMPORTRANGE(""https://docs.google.com/spreadsheets/d/11923uPwbBZFjjGgGUA6NLw09EwE0CqkOc4q9oUmW1yo/edit?usp=sharing"",""เชียงใหม่!L462"")"),0)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IFERROR(__xludf.DUMMYFUNCTION("IMPORTRANGE(""https://docs.google.com/spreadsheets/d/11923uPwbBZFjjGgGUA6NLw09EwE0CqkOc4q9oUmW1yo/edit?usp=sharing"",""เชียงใหม่!M462"")"),0)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IFERROR(__xludf.DUMMYFUNCTION("IMPORTRANGE(""https://docs.google.com/spreadsheets/d/11923uPwbBZFjjGgGUA6NLw09EwE0CqkOc4q9oUmW1yo/edit?usp=sharing"",""เชียงใหม่!L463"")"),130880)</f>
        <v>130880</v>
      </c>
      <c r="M568" s="168"/>
      <c r="N568" s="168">
        <f ca="1">IFERROR(__xludf.DUMMYFUNCTION("IMPORTRANGE(""https://docs.google.com/spreadsheets/d/11923uPwbBZFjjGgGUA6NLw09EwE0CqkOc4q9oUmW1yo/edit?usp=sharing"",""เชียงใหม่!M463"")"),27295.24)</f>
        <v>27295.24</v>
      </c>
      <c r="O568" s="168">
        <f t="shared" ca="1" si="122"/>
        <v>20.855165036674816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IFERROR(__xludf.DUMMYFUNCTION("IMPORTRANGE(""https://docs.google.com/spreadsheets/d/11923uPwbBZFjjGgGUA6NLw09EwE0CqkOc4q9oUmW1yo/edit?usp=sharing"",""เชียงใหม่!M464"")"),0)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IFERROR(__xludf.DUMMYFUNCTION("IMPORTRANGE(""https://docs.google.com/spreadsheets/d/11923uPwbBZFjjGgGUA6NLw09EwE0CqkOc4q9oUmW1yo/edit?usp=sharing"",""เชียงใหม่!M465"")"),0)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IFERROR(__xludf.DUMMYFUNCTION("IMPORTRANGE(""https://docs.google.com/spreadsheets/d/11923uPwbBZFjjGgGUA6NLw09EwE0CqkOc4q9oUmW1yo/edit?usp=sharing"",""เชียงใหม่!M466"")"),20935.24)</f>
        <v>20935.240000000002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IFERROR(__xludf.DUMMYFUNCTION("IMPORTRANGE(""https://docs.google.com/spreadsheets/d/11923uPwbBZFjjGgGUA6NLw09EwE0CqkOc4q9oUmW1yo/edit?usp=sharing"",""เชียงใหม่!M467"")"),6360)</f>
        <v>6360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IFERROR(__xludf.DUMMYFUNCTION("IMPORTRANGE(""https://docs.google.com/spreadsheets/d/11923uPwbBZFjjGgGUA6NLw09EwE0CqkOc4q9oUmW1yo/edit?usp=sharing"",""เชียงใหม่!I468"")"),1000)</f>
        <v>1000</v>
      </c>
      <c r="J573" s="418">
        <f ca="1">IFERROR(__xludf.DUMMYFUNCTION("IMPORTRANGE(""https://docs.google.com/spreadsheets/d/11923uPwbBZFjjGgGUA6NLw09EwE0CqkOc4q9oUmW1yo/edit?usp=sharing"",""เชียงใหม่!J468"")"),686)</f>
        <v>686</v>
      </c>
      <c r="K573" s="201">
        <f ca="1">IF(I573&gt;0,J573*100/I573,0)</f>
        <v>68.599999999999994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IFERROR(__xludf.DUMMYFUNCTION("IMPORTRANGE(""https://docs.google.com/spreadsheets/d/11923uPwbBZFjjGgGUA6NLw09EwE0CqkOc4q9oUmW1yo/edit?usp=sharing"",""เชียงใหม่!I470"")"),0)</f>
        <v>0</v>
      </c>
      <c r="J575" s="197">
        <f ca="1">IFERROR(__xludf.DUMMYFUNCTION("IMPORTRANGE(""https://docs.google.com/spreadsheets/d/11923uPwbBZFjjGgGUA6NLw09EwE0CqkOc4q9oUmW1yo/edit?usp=sharing"",""เชียงใหม่!J470"")"),2)</f>
        <v>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IFERROR(__xludf.DUMMYFUNCTION("IMPORTRANGE(""https://docs.google.com/spreadsheets/d/11923uPwbBZFjjGgGUA6NLw09EwE0CqkOc4q9oUmW1yo/edit?usp=sharing"",""เชียงใหม่!I471"")"),0)</f>
        <v>0</v>
      </c>
      <c r="J576" s="197">
        <f ca="1">IFERROR(__xludf.DUMMYFUNCTION("IMPORTRANGE(""https://docs.google.com/spreadsheets/d/11923uPwbBZFjjGgGUA6NLw09EwE0CqkOc4q9oUmW1yo/edit?usp=sharing"",""เชียงใหม่!J471"")"),153)</f>
        <v>153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IFERROR(__xludf.DUMMYFUNCTION("IMPORTRANGE(""https://docs.google.com/spreadsheets/d/11923uPwbBZFjjGgGUA6NLw09EwE0CqkOc4q9oUmW1yo/edit?usp=sharing"",""เชียงใหม่!I472"")"),0)</f>
        <v>0</v>
      </c>
      <c r="J577" s="188">
        <f ca="1">IFERROR(__xludf.DUMMYFUNCTION("IMPORTRANGE(""https://docs.google.com/spreadsheets/d/11923uPwbBZFjjGgGUA6NLw09EwE0CqkOc4q9oUmW1yo/edit?usp=sharing"",""เชียงใหม่!J472"")"),510)</f>
        <v>510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IFERROR(__xludf.DUMMYFUNCTION("IMPORTRANGE(""https://docs.google.com/spreadsheets/d/11923uPwbBZFjjGgGUA6NLw09EwE0CqkOc4q9oUmW1yo/edit?usp=sharing"",""เชียงใหม่!I473"")"),0)</f>
        <v>0</v>
      </c>
      <c r="J578" s="197">
        <f ca="1">IFERROR(__xludf.DUMMYFUNCTION("IMPORTRANGE(""https://docs.google.com/spreadsheets/d/11923uPwbBZFjjGgGUA6NLw09EwE0CqkOc4q9oUmW1yo/edit?usp=sharing"",""เชียงใหม่!J473"")"),1)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IFERROR(__xludf.DUMMYFUNCTION("IMPORTRANGE(""https://docs.google.com/spreadsheets/d/11923uPwbBZFjjGgGUA6NLw09EwE0CqkOc4q9oUmW1yo/edit?usp=sharing"",""เชียงใหม่!I474"")"),0)</f>
        <v>0</v>
      </c>
      <c r="J579" s="197">
        <f ca="1">IFERROR(__xludf.DUMMYFUNCTION("IMPORTRANGE(""https://docs.google.com/spreadsheets/d/11923uPwbBZFjjGgGUA6NLw09EwE0CqkOc4q9oUmW1yo/edit?usp=sharing"",""เชียงใหม่!J474"")"),22)</f>
        <v>22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IFERROR(__xludf.DUMMYFUNCTION("IMPORTRANGE(""https://docs.google.com/spreadsheets/d/11923uPwbBZFjjGgGUA6NLw09EwE0CqkOc4q9oUmW1yo/edit?usp=sharing"",""เชียงใหม่!I475"")"),30)</f>
        <v>30</v>
      </c>
      <c r="J580" s="369">
        <f ca="1">IFERROR(__xludf.DUMMYFUNCTION("IMPORTRANGE(""https://docs.google.com/spreadsheets/d/11923uPwbBZFjjGgGUA6NLw09EwE0CqkOc4q9oUmW1yo/edit?usp=sharing"",""เชียงใหม่!J475"")"),0)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IFERROR(__xludf.DUMMYFUNCTION("IMPORTRANGE(""https://docs.google.com/spreadsheets/d/11923uPwbBZFjjGgGUA6NLw09EwE0CqkOc4q9oUmW1yo/edit?usp=sharing"",""เชียงใหม่!L475"")"),153230)</f>
        <v>153230</v>
      </c>
      <c r="M580" s="371"/>
      <c r="N580" s="371">
        <f ca="1">IFERROR(__xludf.DUMMYFUNCTION("IMPORTRANGE(""https://docs.google.com/spreadsheets/d/11923uPwbBZFjjGgGUA6NLw09EwE0CqkOc4q9oUmW1yo/edit?usp=sharing"",""เชียงใหม่!M475"")"),10920)</f>
        <v>10920</v>
      </c>
      <c r="O580" s="371">
        <f t="shared" ref="O580:O584" ca="1" si="124">+IF(L580&gt;0,N580*100/L580,0)</f>
        <v>7.126541799908634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IFERROR(__xludf.DUMMYFUNCTION("IMPORTRANGE(""https://docs.google.com/spreadsheets/d/11923uPwbBZFjjGgGUA6NLw09EwE0CqkOc4q9oUmW1yo/edit?usp=sharing"",""เชียงใหม่!L476"")"),0)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IFERROR(__xludf.DUMMYFUNCTION("IMPORTRANGE(""https://docs.google.com/spreadsheets/d/11923uPwbBZFjjGgGUA6NLw09EwE0CqkOc4q9oUmW1yo/edit?usp=sharing"",""เชียงใหม่!M476"")"),0)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IFERROR(__xludf.DUMMYFUNCTION("IMPORTRANGE(""https://docs.google.com/spreadsheets/d/11923uPwbBZFjjGgGUA6NLw09EwE0CqkOc4q9oUmW1yo/edit?usp=sharing"",""เชียงใหม่!L477"")"),153230)</f>
        <v>153230</v>
      </c>
      <c r="M582" s="165"/>
      <c r="N582" s="168">
        <f ca="1">IFERROR(__xludf.DUMMYFUNCTION("IMPORTRANGE(""https://docs.google.com/spreadsheets/d/11923uPwbBZFjjGgGUA6NLw09EwE0CqkOc4q9oUmW1yo/edit?usp=sharing"",""เชียงใหม่!M477"")"),10920)</f>
        <v>10920</v>
      </c>
      <c r="O582" s="168">
        <f t="shared" ca="1" si="124"/>
        <v>7.126541799908634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IFERROR(__xludf.DUMMYFUNCTION("IMPORTRANGE(""https://docs.google.com/spreadsheets/d/11923uPwbBZFjjGgGUA6NLw09EwE0CqkOc4q9oUmW1yo/edit?usp=sharing"",""เชียงใหม่!L478"")"),0)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IFERROR(__xludf.DUMMYFUNCTION("IMPORTRANGE(""https://docs.google.com/spreadsheets/d/11923uPwbBZFjjGgGUA6NLw09EwE0CqkOc4q9oUmW1yo/edit?usp=sharing"",""เชียงใหม่!M478"")"),0)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IFERROR(__xludf.DUMMYFUNCTION("IMPORTRANGE(""https://docs.google.com/spreadsheets/d/11923uPwbBZFjjGgGUA6NLw09EwE0CqkOc4q9oUmW1yo/edit?usp=sharing"",""เชียงใหม่!L479"")"),153230)</f>
        <v>153230</v>
      </c>
      <c r="M584" s="168"/>
      <c r="N584" s="168">
        <f ca="1">IFERROR(__xludf.DUMMYFUNCTION("IMPORTRANGE(""https://docs.google.com/spreadsheets/d/11923uPwbBZFjjGgGUA6NLw09EwE0CqkOc4q9oUmW1yo/edit?usp=sharing"",""เชียงใหม่!M479"")"),10920)</f>
        <v>10920</v>
      </c>
      <c r="O584" s="168">
        <f t="shared" ca="1" si="124"/>
        <v>7.126541799908634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IFERROR(__xludf.DUMMYFUNCTION("IMPORTRANGE(""https://docs.google.com/spreadsheets/d/11923uPwbBZFjjGgGUA6NLw09EwE0CqkOc4q9oUmW1yo/edit?usp=sharing"",""เชียงใหม่!M480"")"),0)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IFERROR(__xludf.DUMMYFUNCTION("IMPORTRANGE(""https://docs.google.com/spreadsheets/d/11923uPwbBZFjjGgGUA6NLw09EwE0CqkOc4q9oUmW1yo/edit?usp=sharing"",""เชียงใหม่!M481"")"),0)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IFERROR(__xludf.DUMMYFUNCTION("IMPORTRANGE(""https://docs.google.com/spreadsheets/d/11923uPwbBZFjjGgGUA6NLw09EwE0CqkOc4q9oUmW1yo/edit?usp=sharing"",""เชียงใหม่!M482"")"),0)</f>
        <v>0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IFERROR(__xludf.DUMMYFUNCTION("IMPORTRANGE(""https://docs.google.com/spreadsheets/d/11923uPwbBZFjjGgGUA6NLw09EwE0CqkOc4q9oUmW1yo/edit?usp=sharing"",""เชียงใหม่!M483"")"),10920)</f>
        <v>10920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IFERROR(__xludf.DUMMYFUNCTION("IMPORTRANGE(""https://docs.google.com/spreadsheets/d/11923uPwbBZFjjGgGUA6NLw09EwE0CqkOc4q9oUmW1yo/edit?usp=sharing"",""เชียงใหม่!I484"")"),30)</f>
        <v>30</v>
      </c>
      <c r="J589" s="187">
        <f ca="1">IFERROR(__xludf.DUMMYFUNCTION("IMPORTRANGE(""https://docs.google.com/spreadsheets/d/11923uPwbBZFjjGgGUA6NLw09EwE0CqkOc4q9oUmW1yo/edit?usp=sharing"",""เชียงใหม่!J484"")"),31)</f>
        <v>31</v>
      </c>
      <c r="K589" s="163">
        <f t="shared" ref="K589:K596" ca="1" si="125">IF(I589&gt;0,J589*100/I589,0)</f>
        <v>103.33333333333333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IFERROR(__xludf.DUMMYFUNCTION("IMPORTRANGE(""https://docs.google.com/spreadsheets/d/11923uPwbBZFjjGgGUA6NLw09EwE0CqkOc4q9oUmW1yo/edit?usp=sharing"",""เชียงใหม่!I485"")"),0)</f>
        <v>0</v>
      </c>
      <c r="J590" s="187">
        <f ca="1">IFERROR(__xludf.DUMMYFUNCTION("IMPORTRANGE(""https://docs.google.com/spreadsheets/d/11923uPwbBZFjjGgGUA6NLw09EwE0CqkOc4q9oUmW1yo/edit?usp=sharing"",""เชียงใหม่!J485"")"),11.18)</f>
        <v>11.18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IFERROR(__xludf.DUMMYFUNCTION("IMPORTRANGE(""https://docs.google.com/spreadsheets/d/11923uPwbBZFjjGgGUA6NLw09EwE0CqkOc4q9oUmW1yo/edit?usp=sharing"",""เชียงใหม่!I486"")"),30)</f>
        <v>30</v>
      </c>
      <c r="J591" s="187">
        <f ca="1">IFERROR(__xludf.DUMMYFUNCTION("IMPORTRANGE(""https://docs.google.com/spreadsheets/d/11923uPwbBZFjjGgGUA6NLw09EwE0CqkOc4q9oUmW1yo/edit?usp=sharing"",""เชียงใหม่!J486"")"),14)</f>
        <v>14</v>
      </c>
      <c r="K591" s="163">
        <f t="shared" ca="1" si="125"/>
        <v>46.666666666666664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IFERROR(__xludf.DUMMYFUNCTION("IMPORTRANGE(""https://docs.google.com/spreadsheets/d/11923uPwbBZFjjGgGUA6NLw09EwE0CqkOc4q9oUmW1yo/edit?usp=sharing"",""เชียงใหม่!I487"")"),0)</f>
        <v>0</v>
      </c>
      <c r="J592" s="187">
        <f ca="1">IFERROR(__xludf.DUMMYFUNCTION("IMPORTRANGE(""https://docs.google.com/spreadsheets/d/11923uPwbBZFjjGgGUA6NLw09EwE0CqkOc4q9oUmW1yo/edit?usp=sharing"",""เชียงใหม่!J487"")"),4.83)</f>
        <v>4.83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IFERROR(__xludf.DUMMYFUNCTION("IMPORTRANGE(""https://docs.google.com/spreadsheets/d/11923uPwbBZFjjGgGUA6NLw09EwE0CqkOc4q9oUmW1yo/edit?usp=sharing"",""เชียงใหม่!I488"")"),30)</f>
        <v>30</v>
      </c>
      <c r="J593" s="187">
        <f ca="1">IFERROR(__xludf.DUMMYFUNCTION("IMPORTRANGE(""https://docs.google.com/spreadsheets/d/11923uPwbBZFjjGgGUA6NLw09EwE0CqkOc4q9oUmW1yo/edit?usp=sharing"",""เชียงใหม่!J488"")"),0)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IFERROR(__xludf.DUMMYFUNCTION("IMPORTRANGE(""https://docs.google.com/spreadsheets/d/11923uPwbBZFjjGgGUA6NLw09EwE0CqkOc4q9oUmW1yo/edit?usp=sharing"",""เชียงใหม่!I489"")"),0)</f>
        <v>0</v>
      </c>
      <c r="J594" s="187">
        <f ca="1">IFERROR(__xludf.DUMMYFUNCTION("IMPORTRANGE(""https://docs.google.com/spreadsheets/d/11923uPwbBZFjjGgGUA6NLw09EwE0CqkOc4q9oUmW1yo/edit?usp=sharing"",""เชียงใหม่!J489"")"),0)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IFERROR(__xludf.DUMMYFUNCTION("IMPORTRANGE(""https://docs.google.com/spreadsheets/d/11923uPwbBZFjjGgGUA6NLw09EwE0CqkOc4q9oUmW1yo/edit?usp=sharing"",""เชียงใหม่!I490"")"),30)</f>
        <v>30</v>
      </c>
      <c r="J595" s="187">
        <f ca="1">IFERROR(__xludf.DUMMYFUNCTION("IMPORTRANGE(""https://docs.google.com/spreadsheets/d/11923uPwbBZFjjGgGUA6NLw09EwE0CqkOc4q9oUmW1yo/edit?usp=sharing"",""เชียงใหม่!J490"")"),0)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IFERROR(__xludf.DUMMYFUNCTION("IMPORTRANGE(""https://docs.google.com/spreadsheets/d/11923uPwbBZFjjGgGUA6NLw09EwE0CqkOc4q9oUmW1yo/edit?usp=sharing"",""เชียงใหม่!I491"")"),0)</f>
        <v>0</v>
      </c>
      <c r="J596" s="240">
        <f ca="1">IFERROR(__xludf.DUMMYFUNCTION("IMPORTRANGE(""https://docs.google.com/spreadsheets/d/11923uPwbBZFjjGgGUA6NLw09EwE0CqkOc4q9oUmW1yo/edit?usp=sharing"",""เชียงใหม่!J491"")"),0)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IFERROR(__xludf.DUMMYFUNCTION("IMPORTRANGE(""https://docs.google.com/spreadsheets/d/11923uPwbBZFjjGgGUA6NLw09EwE0CqkOc4q9oUmW1yo/edit?usp=sharing"",""เชียงใหม่!I492"")"),100)</f>
        <v>100</v>
      </c>
      <c r="J597" s="485">
        <f ca="1">IFERROR(__xludf.DUMMYFUNCTION("IMPORTRANGE(""https://docs.google.com/spreadsheets/d/11923uPwbBZFjjGgGUA6NLw09EwE0CqkOc4q9oUmW1yo/edit?usp=sharing"",""เชียงใหม่!J492"")"),0)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IFERROR(__xludf.DUMMYFUNCTION("IMPORTRANGE(""https://docs.google.com/spreadsheets/d/11923uPwbBZFjjGgGUA6NLw09EwE0CqkOc4q9oUmW1yo/edit?usp=sharing"",""เชียงใหม่!L492"")"),10900)</f>
        <v>10900</v>
      </c>
      <c r="M597" s="410"/>
      <c r="N597" s="410">
        <f ca="1">IFERROR(__xludf.DUMMYFUNCTION("IMPORTRANGE(""https://docs.google.com/spreadsheets/d/11923uPwbBZFjjGgGUA6NLw09EwE0CqkOc4q9oUmW1yo/edit?usp=sharing"",""เชียงใหม่!M492"")"),2380)</f>
        <v>2380</v>
      </c>
      <c r="O597" s="410">
        <f t="shared" ref="O597:O601" ca="1" si="126">+IF(L597&gt;0,N597*100/L597,0)</f>
        <v>21.834862385321102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IFERROR(__xludf.DUMMYFUNCTION("IMPORTRANGE(""https://docs.google.com/spreadsheets/d/11923uPwbBZFjjGgGUA6NLw09EwE0CqkOc4q9oUmW1yo/edit?usp=sharing"",""เชียงใหม่!L493"")"),0)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IFERROR(__xludf.DUMMYFUNCTION("IMPORTRANGE(""https://docs.google.com/spreadsheets/d/11923uPwbBZFjjGgGUA6NLw09EwE0CqkOc4q9oUmW1yo/edit?usp=sharing"",""เชียงใหม่!M493"")"),0)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IFERROR(__xludf.DUMMYFUNCTION("IMPORTRANGE(""https://docs.google.com/spreadsheets/d/11923uPwbBZFjjGgGUA6NLw09EwE0CqkOc4q9oUmW1yo/edit?usp=sharing"",""เชียงใหม่!L494"")"),10900)</f>
        <v>10900</v>
      </c>
      <c r="M599" s="165"/>
      <c r="N599" s="168">
        <f ca="1">IFERROR(__xludf.DUMMYFUNCTION("IMPORTRANGE(""https://docs.google.com/spreadsheets/d/11923uPwbBZFjjGgGUA6NLw09EwE0CqkOc4q9oUmW1yo/edit?usp=sharing"",""เชียงใหม่!M494"")"),2380)</f>
        <v>2380</v>
      </c>
      <c r="O599" s="168">
        <f t="shared" ca="1" si="126"/>
        <v>21.834862385321102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IFERROR(__xludf.DUMMYFUNCTION("IMPORTRANGE(""https://docs.google.com/spreadsheets/d/11923uPwbBZFjjGgGUA6NLw09EwE0CqkOc4q9oUmW1yo/edit?usp=sharing"",""เชียงใหม่!L495"")"),0)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IFERROR(__xludf.DUMMYFUNCTION("IMPORTRANGE(""https://docs.google.com/spreadsheets/d/11923uPwbBZFjjGgGUA6NLw09EwE0CqkOc4q9oUmW1yo/edit?usp=sharing"",""เชียงใหม่!M495"")"),0)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IFERROR(__xludf.DUMMYFUNCTION("IMPORTRANGE(""https://docs.google.com/spreadsheets/d/11923uPwbBZFjjGgGUA6NLw09EwE0CqkOc4q9oUmW1yo/edit?usp=sharing"",""เชียงใหม่!L496"")"),10900)</f>
        <v>10900</v>
      </c>
      <c r="M601" s="168"/>
      <c r="N601" s="168">
        <f ca="1">IFERROR(__xludf.DUMMYFUNCTION("IMPORTRANGE(""https://docs.google.com/spreadsheets/d/11923uPwbBZFjjGgGUA6NLw09EwE0CqkOc4q9oUmW1yo/edit?usp=sharing"",""เชียงใหม่!M496"")"),2380)</f>
        <v>2380</v>
      </c>
      <c r="O601" s="168">
        <f t="shared" ca="1" si="126"/>
        <v>21.834862385321102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IFERROR(__xludf.DUMMYFUNCTION("IMPORTRANGE(""https://docs.google.com/spreadsheets/d/11923uPwbBZFjjGgGUA6NLw09EwE0CqkOc4q9oUmW1yo/edit?usp=sharing"",""เชียงใหม่!M497"")"),0)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IFERROR(__xludf.DUMMYFUNCTION("IMPORTRANGE(""https://docs.google.com/spreadsheets/d/11923uPwbBZFjjGgGUA6NLw09EwE0CqkOc4q9oUmW1yo/edit?usp=sharing"",""เชียงใหม่!M498"")"),0)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IFERROR(__xludf.DUMMYFUNCTION("IMPORTRANGE(""https://docs.google.com/spreadsheets/d/11923uPwbBZFjjGgGUA6NLw09EwE0CqkOc4q9oUmW1yo/edit?usp=sharing"",""เชียงใหม่!M499"")"),0)</f>
        <v>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IFERROR(__xludf.DUMMYFUNCTION("IMPORTRANGE(""https://docs.google.com/spreadsheets/d/11923uPwbBZFjjGgGUA6NLw09EwE0CqkOc4q9oUmW1yo/edit?usp=sharing"",""เชียงใหม่!M500"")"),2380)</f>
        <v>2380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IFERROR(__xludf.DUMMYFUNCTION("IMPORTRANGE(""https://docs.google.com/spreadsheets/d/11923uPwbBZFjjGgGUA6NLw09EwE0CqkOc4q9oUmW1yo/edit?usp=sharing"",""เชียงใหม่!J502"")"),0)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IFERROR(__xludf.DUMMYFUNCTION("IMPORTRANGE(""https://docs.google.com/spreadsheets/d/11923uPwbBZFjjGgGUA6NLw09EwE0CqkOc4q9oUmW1yo/edit?usp=sharing"",""เชียงใหม่!J503"")"),1)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IFERROR(__xludf.DUMMYFUNCTION("IMPORTRANGE(""https://docs.google.com/spreadsheets/d/11923uPwbBZFjjGgGUA6NLw09EwE0CqkOc4q9oUmW1yo/edit?usp=sharing"",""เชียงใหม่!J166"")"),0)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IFERROR(__xludf.DUMMYFUNCTION("IMPORTRANGE(""https://docs.google.com/spreadsheets/d/11923uPwbBZFjjGgGUA6NLw09EwE0CqkOc4q9oUmW1yo/edit?usp=sharing"",""เชียงใหม่!J166"")"),0)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IFERROR(__xludf.DUMMYFUNCTION("IMPORTRANGE(""https://docs.google.com/spreadsheets/d/11923uPwbBZFjjGgGUA6NLw09EwE0CqkOc4q9oUmW1yo/edit?usp=sharing"",""เชียงใหม่!I506"")"),100)</f>
        <v>100</v>
      </c>
      <c r="J611" s="162">
        <f ca="1">IFERROR(__xludf.DUMMYFUNCTION("IMPORTRANGE(""https://docs.google.com/spreadsheets/d/11923uPwbBZFjjGgGUA6NLw09EwE0CqkOc4q9oUmW1yo/edit?usp=sharing"",""เชียงใหม่!J506"")"),0)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IFERROR(__xludf.DUMMYFUNCTION("IMPORTRANGE(""https://docs.google.com/spreadsheets/d/11923uPwbBZFjjGgGUA6NLw09EwE0CqkOc4q9oUmW1yo/edit?usp=sharing"",""เชียงใหม่!I507"")"),0)</f>
        <v>0</v>
      </c>
      <c r="J612" s="197">
        <f ca="1">IFERROR(__xludf.DUMMYFUNCTION("IMPORTRANGE(""https://docs.google.com/spreadsheets/d/11923uPwbBZFjjGgGUA6NLw09EwE0CqkOc4q9oUmW1yo/edit?usp=sharing"",""เชียงใหม่!J507"")"),110.75)</f>
        <v>110.75</v>
      </c>
      <c r="K612" s="163">
        <f t="shared" ca="1" si="127"/>
        <v>110.75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IFERROR(__xludf.DUMMYFUNCTION("IMPORTRANGE(""https://docs.google.com/spreadsheets/d/11923uPwbBZFjjGgGUA6NLw09EwE0CqkOc4q9oUmW1yo/edit?usp=sharing"",""เชียงใหม่!I508"")"),0)</f>
        <v>0</v>
      </c>
      <c r="J613" s="197">
        <f ca="1">IFERROR(__xludf.DUMMYFUNCTION("IMPORTRANGE(""https://docs.google.com/spreadsheets/d/11923uPwbBZFjjGgGUA6NLw09EwE0CqkOc4q9oUmW1yo/edit?usp=sharing"",""เชียงใหม่!J508"")"),0)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IFERROR(__xludf.DUMMYFUNCTION("IMPORTRANGE(""https://docs.google.com/spreadsheets/d/11923uPwbBZFjjGgGUA6NLw09EwE0CqkOc4q9oUmW1yo/edit?usp=sharing"",""เชียงใหม่!I509"")"),0)</f>
        <v>0</v>
      </c>
      <c r="J614" s="197">
        <f ca="1">IFERROR(__xludf.DUMMYFUNCTION("IMPORTRANGE(""https://docs.google.com/spreadsheets/d/11923uPwbBZFjjGgGUA6NLw09EwE0CqkOc4q9oUmW1yo/edit?usp=sharing"",""เชียงใหม่!J509"")"),0)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IFERROR(__xludf.DUMMYFUNCTION("IMPORTRANGE(""https://docs.google.com/spreadsheets/d/11923uPwbBZFjjGgGUA6NLw09EwE0CqkOc4q9oUmW1yo/edit?usp=sharing"",""เชียงใหม่!I510"")"),0)</f>
        <v>0</v>
      </c>
      <c r="J615" s="197">
        <f ca="1">IFERROR(__xludf.DUMMYFUNCTION("IMPORTRANGE(""https://docs.google.com/spreadsheets/d/11923uPwbBZFjjGgGUA6NLw09EwE0CqkOc4q9oUmW1yo/edit?usp=sharing"",""เชียงใหม่!J510"")"),0)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IFERROR(__xludf.DUMMYFUNCTION("IMPORTRANGE(""https://docs.google.com/spreadsheets/d/11923uPwbBZFjjGgGUA6NLw09EwE0CqkOc4q9oUmW1yo/edit?usp=sharing"",""เชียงใหม่!I511"")"),0)</f>
        <v>0</v>
      </c>
      <c r="J616" s="197">
        <f ca="1">IFERROR(__xludf.DUMMYFUNCTION("IMPORTRANGE(""https://docs.google.com/spreadsheets/d/11923uPwbBZFjjGgGUA6NLw09EwE0CqkOc4q9oUmW1yo/edit?usp=sharing"",""เชียงใหม่!J511"")"),0)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IFERROR(__xludf.DUMMYFUNCTION("IMPORTRANGE(""https://docs.google.com/spreadsheets/d/11923uPwbBZFjjGgGUA6NLw09EwE0CqkOc4q9oUmW1yo/edit?usp=sharing"",""เชียงใหม่!I512"")"),0)</f>
        <v>0</v>
      </c>
      <c r="J617" s="187">
        <f ca="1">IFERROR(__xludf.DUMMYFUNCTION("IMPORTRANGE(""https://docs.google.com/spreadsheets/d/11923uPwbBZFjjGgGUA6NLw09EwE0CqkOc4q9oUmW1yo/edit?usp=sharing"",""เชียงใหม่!J512"")"),0)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IFERROR(__xludf.DUMMYFUNCTION("IMPORTRANGE(""https://docs.google.com/spreadsheets/d/11923uPwbBZFjjGgGUA6NLw09EwE0CqkOc4q9oUmW1yo/edit?usp=sharing"",""เชียงใหม่!I513"")"),0)</f>
        <v>0</v>
      </c>
      <c r="J618" s="188">
        <f ca="1">IFERROR(__xludf.DUMMYFUNCTION("IMPORTRANGE(""https://docs.google.com/spreadsheets/d/11923uPwbBZFjjGgGUA6NLw09EwE0CqkOc4q9oUmW1yo/edit?usp=sharing"",""เชียงใหม่!J513"")"),0)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IFERROR(__xludf.DUMMYFUNCTION("IMPORTRANGE(""https://docs.google.com/spreadsheets/d/11923uPwbBZFjjGgGUA6NLw09EwE0CqkOc4q9oUmW1yo/edit?usp=sharing"",""เชียงใหม่!I514"")"),0)</f>
        <v>0</v>
      </c>
      <c r="J619" s="188">
        <f ca="1">IFERROR(__xludf.DUMMYFUNCTION("IMPORTRANGE(""https://docs.google.com/spreadsheets/d/11923uPwbBZFjjGgGUA6NLw09EwE0CqkOc4q9oUmW1yo/edit?usp=sharing"",""เชียงใหม่!J514"")"),0)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IFERROR(__xludf.DUMMYFUNCTION("IMPORTRANGE(""https://docs.google.com/spreadsheets/d/11923uPwbBZFjjGgGUA6NLw09EwE0CqkOc4q9oUmW1yo/edit?usp=sharing"",""เชียงใหม่!I515"")"),100)</f>
        <v>100</v>
      </c>
      <c r="J620" s="202">
        <f ca="1">IFERROR(__xludf.DUMMYFUNCTION("IMPORTRANGE(""https://docs.google.com/spreadsheets/d/11923uPwbBZFjjGgGUA6NLw09EwE0CqkOc4q9oUmW1yo/edit?usp=sharing"",""เชียงใหม่!J515"")"),0)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IFERROR(__xludf.DUMMYFUNCTION("IMPORTRANGE(""https://docs.google.com/spreadsheets/d/11923uPwbBZFjjGgGUA6NLw09EwE0CqkOc4q9oUmW1yo/edit?usp=sharing"",""เชียงใหม่!I516"")"),0)</f>
        <v>0</v>
      </c>
      <c r="J621" s="202">
        <f ca="1">IFERROR(__xludf.DUMMYFUNCTION("IMPORTRANGE(""https://docs.google.com/spreadsheets/d/11923uPwbBZFjjGgGUA6NLw09EwE0CqkOc4q9oUmW1yo/edit?usp=sharing"",""เชียงใหม่!J516"")"),0)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IFERROR(__xludf.DUMMYFUNCTION("IMPORTRANGE(""https://docs.google.com/spreadsheets/d/11923uPwbBZFjjGgGUA6NLw09EwE0CqkOc4q9oUmW1yo/edit?usp=sharing"",""เชียงใหม่!I517"")"),0)</f>
        <v>0</v>
      </c>
      <c r="J622" s="188">
        <f ca="1">IFERROR(__xludf.DUMMYFUNCTION("IMPORTRANGE(""https://docs.google.com/spreadsheets/d/11923uPwbBZFjjGgGUA6NLw09EwE0CqkOc4q9oUmW1yo/edit?usp=sharing"",""เชียงใหม่!J517"")"),0)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IFERROR(__xludf.DUMMYFUNCTION("IMPORTRANGE(""https://docs.google.com/spreadsheets/d/11923uPwbBZFjjGgGUA6NLw09EwE0CqkOc4q9oUmW1yo/edit?usp=sharing"",""เชียงใหม่!I518"")"),0)</f>
        <v>0</v>
      </c>
      <c r="J623" s="188">
        <f ca="1">IFERROR(__xludf.DUMMYFUNCTION("IMPORTRANGE(""https://docs.google.com/spreadsheets/d/11923uPwbBZFjjGgGUA6NLw09EwE0CqkOc4q9oUmW1yo/edit?usp=sharing"",""เชียงใหม่!J518"")"),0)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IFERROR(__xludf.DUMMYFUNCTION("IMPORTRANGE(""https://docs.google.com/spreadsheets/d/11923uPwbBZFjjGgGUA6NLw09EwE0CqkOc4q9oUmW1yo/edit?usp=sharing"",""เชียงใหม่!I519"")"),0)</f>
        <v>0</v>
      </c>
      <c r="J624" s="187">
        <f ca="1">IFERROR(__xludf.DUMMYFUNCTION("IMPORTRANGE(""https://docs.google.com/spreadsheets/d/11923uPwbBZFjjGgGUA6NLw09EwE0CqkOc4q9oUmW1yo/edit?usp=sharing"",""เชียงใหม่!J519"")"),100)</f>
        <v>100</v>
      </c>
      <c r="K624" s="163">
        <f t="shared" ca="1" si="128"/>
        <v>100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IFERROR(__xludf.DUMMYFUNCTION("IMPORTRANGE(""https://docs.google.com/spreadsheets/d/11923uPwbBZFjjGgGUA6NLw09EwE0CqkOc4q9oUmW1yo/edit?usp=sharing"",""เชียงใหม่!I520"")"),0)</f>
        <v>0</v>
      </c>
      <c r="J625" s="188">
        <f ca="1">IFERROR(__xludf.DUMMYFUNCTION("IMPORTRANGE(""https://docs.google.com/spreadsheets/d/11923uPwbBZFjjGgGUA6NLw09EwE0CqkOc4q9oUmW1yo/edit?usp=sharing"",""เชียงใหม่!J520"")"),0)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IFERROR(__xludf.DUMMYFUNCTION("IMPORTRANGE(""https://docs.google.com/spreadsheets/d/11923uPwbBZFjjGgGUA6NLw09EwE0CqkOc4q9oUmW1yo/edit?usp=sharing"",""เชียงใหม่!I521"")"),0)</f>
        <v>0</v>
      </c>
      <c r="J626" s="188">
        <f ca="1">IFERROR(__xludf.DUMMYFUNCTION("IMPORTRANGE(""https://docs.google.com/spreadsheets/d/11923uPwbBZFjjGgGUA6NLw09EwE0CqkOc4q9oUmW1yo/edit?usp=sharing"",""เชียงใหม่!J521"")"),100)</f>
        <v>100</v>
      </c>
      <c r="K626" s="163">
        <f t="shared" ca="1" si="128"/>
        <v>100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IFERROR(__xludf.DUMMYFUNCTION("IMPORTRANGE(""https://docs.google.com/spreadsheets/d/11923uPwbBZFjjGgGUA6NLw09EwE0CqkOc4q9oUmW1yo/edit?usp=sharing"",""เชียงใหม่!I523"")"),2948302.07)</f>
        <v>2948302.07</v>
      </c>
      <c r="J628" s="339">
        <f ca="1">IFERROR(__xludf.DUMMYFUNCTION("IMPORTRANGE(""https://docs.google.com/spreadsheets/d/11923uPwbBZFjjGgGUA6NLw09EwE0CqkOc4q9oUmW1yo/edit?usp=sharing"",""เชียงใหม่!J523"")"),673804)</f>
        <v>673804</v>
      </c>
      <c r="K628" s="340">
        <f t="shared" ref="K628:K635" ca="1" si="129">IF(I628&gt;0,J628*100/I628,0)</f>
        <v>22.853967605836264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IFERROR(__xludf.DUMMYFUNCTION("IMPORTRANGE(""https://docs.google.com/spreadsheets/d/11923uPwbBZFjjGgGUA6NLw09EwE0CqkOc4q9oUmW1yo/edit?usp=sharing"",""เชียงใหม่!I524"")"),159)</f>
        <v>159</v>
      </c>
      <c r="J629" s="339">
        <f ca="1">IFERROR(__xludf.DUMMYFUNCTION("IMPORTRANGE(""https://docs.google.com/spreadsheets/d/11923uPwbBZFjjGgGUA6NLw09EwE0CqkOc4q9oUmW1yo/edit?usp=sharing"",""เชียงใหม่!J524"")"),34)</f>
        <v>34</v>
      </c>
      <c r="K629" s="340">
        <f t="shared" ca="1" si="129"/>
        <v>21.383647798742139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39">
        <f ca="1">IFERROR(__xludf.DUMMYFUNCTION("IMPORTRANGE(""https://docs.google.com/spreadsheets/d/11923uPwbBZFjjGgGUA6NLw09EwE0CqkOc4q9oUmW1yo/edit?usp=sharing"",""เชียงใหม่!J525"")"),53364.5)</f>
        <v>53364.5</v>
      </c>
      <c r="K630" s="340">
        <f t="shared" ca="1" si="129"/>
        <v>8.3799434926000238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IFERROR(__xludf.DUMMYFUNCTION("IMPORTRANGE(""https://docs.google.com/spreadsheets/d/11923uPwbBZFjjGgGUA6NLw09EwE0CqkOc4q9oUmW1yo/edit?usp=sharing"",""เชียงใหม่!I526"")"),41)</f>
        <v>41</v>
      </c>
      <c r="J631" s="339">
        <f ca="1">IFERROR(__xludf.DUMMYFUNCTION("IMPORTRANGE(""https://docs.google.com/spreadsheets/d/11923uPwbBZFjjGgGUA6NLw09EwE0CqkOc4q9oUmW1yo/edit?usp=sharing"",""เชียงใหม่!J526"")"),24)</f>
        <v>24</v>
      </c>
      <c r="K631" s="340">
        <f t="shared" ca="1" si="129"/>
        <v>58.536585365853661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39">
        <f ca="1">IFERROR(__xludf.DUMMYFUNCTION("IMPORTRANGE(""https://docs.google.com/spreadsheets/d/11923uPwbBZFjjGgGUA6NLw09EwE0CqkOc4q9oUmW1yo/edit?usp=sharing"",""เชียงใหม่!J527"")"),4172.1)</f>
        <v>4172.1000000000004</v>
      </c>
      <c r="K632" s="340">
        <f t="shared" ca="1" si="129"/>
        <v>4.1365307989658531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IFERROR(__xludf.DUMMYFUNCTION("IMPORTRANGE(""https://docs.google.com/spreadsheets/d/11923uPwbBZFjjGgGUA6NLw09EwE0CqkOc4q9oUmW1yo/edit?usp=sharing"",""เชียงใหม่!I528"")"),23)</f>
        <v>23</v>
      </c>
      <c r="J633" s="339">
        <f ca="1">IFERROR(__xludf.DUMMYFUNCTION("IMPORTRANGE(""https://docs.google.com/spreadsheets/d/11923uPwbBZFjjGgGUA6NLw09EwE0CqkOc4q9oUmW1yo/edit?usp=sharing"",""เชียงใหม่!J528"")"),4)</f>
        <v>4</v>
      </c>
      <c r="K633" s="340">
        <f t="shared" ca="1" si="129"/>
        <v>17.391304347826086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IFERROR(__xludf.DUMMYFUNCTION("IMPORTRANGE(""https://docs.google.com/spreadsheets/d/11923uPwbBZFjjGgGUA6NLw09EwE0CqkOc4q9oUmW1yo/edit?usp=sharing"",""เชียงใหม่!I529"")"),1890000)</f>
        <v>1890000</v>
      </c>
      <c r="J634" s="339">
        <f ca="1">IFERROR(__xludf.DUMMYFUNCTION("IMPORTRANGE(""https://docs.google.com/spreadsheets/d/11923uPwbBZFjjGgGUA6NLw09EwE0CqkOc4q9oUmW1yo/edit?usp=sharing"",""เชียงใหม่!J529"")"),570000)</f>
        <v>570000</v>
      </c>
      <c r="K634" s="340">
        <f t="shared" ca="1" si="129"/>
        <v>30.158730158730158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IFERROR(__xludf.DUMMYFUNCTION("IMPORTRANGE(""https://docs.google.com/spreadsheets/d/11923uPwbBZFjjGgGUA6NLw09EwE0CqkOc4q9oUmW1yo/edit?usp=sharing"",""เชียงใหม่!I530"")"),63)</f>
        <v>63</v>
      </c>
      <c r="J635" s="502">
        <f ca="1">IFERROR(__xludf.DUMMYFUNCTION("IMPORTRANGE(""https://docs.google.com/spreadsheets/d/11923uPwbBZFjjGgGUA6NLw09EwE0CqkOc4q9oUmW1yo/edit?usp=sharing"",""เชียงใหม่!J530"")"),20)</f>
        <v>20</v>
      </c>
      <c r="K635" s="484">
        <f t="shared" ca="1" si="129"/>
        <v>31.746031746031747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9" width="13.90625" bestFit="1" customWidth="1"/>
    <col min="10" max="10" width="11.90625" bestFit="1" customWidth="1"/>
    <col min="11" max="11" width="11" bestFit="1" customWidth="1"/>
    <col min="12" max="13" width="20.08984375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244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4688948</v>
      </c>
      <c r="M8" s="23">
        <f t="shared" ca="1" si="0"/>
        <v>1692840</v>
      </c>
      <c r="N8" s="23">
        <f t="shared" ca="1" si="0"/>
        <v>2140554</v>
      </c>
      <c r="O8" s="22">
        <f t="shared" ref="O8:O16" ca="1" si="1">IF(L8&gt;0,N8*100/L8,0)</f>
        <v>45.651050086288009</v>
      </c>
      <c r="P8" s="22">
        <f t="shared" ref="P8:P16" ca="1" si="2">IF(M8&gt;0,N8*100/M8,0)</f>
        <v>126.44750832919827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4688948</v>
      </c>
      <c r="M10" s="30">
        <f t="shared" ca="1" si="4"/>
        <v>1692840</v>
      </c>
      <c r="N10" s="30">
        <f t="shared" ca="1" si="4"/>
        <v>2140554</v>
      </c>
      <c r="O10" s="29">
        <f t="shared" ca="1" si="1"/>
        <v>45.651050086288009</v>
      </c>
      <c r="P10" s="29">
        <f t="shared" ca="1" si="2"/>
        <v>126.44750832919827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4458328</v>
      </c>
      <c r="M12" s="38">
        <f t="shared" ca="1" si="6"/>
        <v>1462220</v>
      </c>
      <c r="N12" s="38">
        <f t="shared" ca="1" si="6"/>
        <v>1909934</v>
      </c>
      <c r="O12" s="38">
        <f t="shared" ca="1" si="1"/>
        <v>42.839692368977786</v>
      </c>
      <c r="P12" s="38">
        <f t="shared" ca="1" si="2"/>
        <v>130.61878513493181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1854900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2603428</v>
      </c>
      <c r="M14" s="38">
        <f t="shared" si="8"/>
        <v>0</v>
      </c>
      <c r="N14" s="38">
        <f t="shared" ca="1" si="8"/>
        <v>736968</v>
      </c>
      <c r="O14" s="38">
        <f t="shared" ca="1" si="1"/>
        <v>28.307600594293369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230620</v>
      </c>
      <c r="M16" s="38">
        <f t="shared" ca="1" si="10"/>
        <v>230620</v>
      </c>
      <c r="N16" s="38">
        <f t="shared" ca="1" si="10"/>
        <v>230620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2895720</v>
      </c>
      <c r="M18" s="23">
        <f t="shared" ca="1" si="11"/>
        <v>1692840</v>
      </c>
      <c r="N18" s="23">
        <f t="shared" ca="1" si="11"/>
        <v>1403586</v>
      </c>
      <c r="O18" s="22">
        <f t="shared" ref="O18:O20" ca="1" si="12">IF(L18&gt;0,N18*100/L18,0)</f>
        <v>48.471053831171524</v>
      </c>
      <c r="P18" s="22">
        <f t="shared" ref="P18:P26" ca="1" si="13">IF(M18&gt;0,N18*100/M18,0)</f>
        <v>82.913092790813067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2895720</v>
      </c>
      <c r="M20" s="30">
        <f t="shared" ca="1" si="15"/>
        <v>1692840</v>
      </c>
      <c r="N20" s="30">
        <f t="shared" ca="1" si="15"/>
        <v>1403586</v>
      </c>
      <c r="O20" s="29">
        <f t="shared" ca="1" si="12"/>
        <v>48.471053831171524</v>
      </c>
      <c r="P20" s="29">
        <f t="shared" ca="1" si="13"/>
        <v>82.913092790813067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2665100</v>
      </c>
      <c r="M22" s="41">
        <f t="shared" ca="1" si="18"/>
        <v>1462220</v>
      </c>
      <c r="N22" s="38">
        <f t="shared" ca="1" si="18"/>
        <v>1172966</v>
      </c>
      <c r="O22" s="38">
        <f t="shared" ca="1" si="17"/>
        <v>44.01208209823271</v>
      </c>
      <c r="P22" s="38">
        <f t="shared" ca="1" si="13"/>
        <v>80.21816142577724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1854900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810200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230620</v>
      </c>
      <c r="M26" s="49">
        <f t="shared" ca="1" si="22"/>
        <v>230620</v>
      </c>
      <c r="N26" s="49">
        <f t="shared" ca="1" si="22"/>
        <v>230620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1793228</v>
      </c>
      <c r="M28" s="23">
        <f t="shared" si="23"/>
        <v>0</v>
      </c>
      <c r="N28" s="23">
        <f t="shared" ca="1" si="23"/>
        <v>736968</v>
      </c>
      <c r="O28" s="22">
        <f t="shared" ref="O28:O30" ca="1" si="24">IF(L28&gt;0,N28*100/L28,0)</f>
        <v>41.097283780980447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1793228</v>
      </c>
      <c r="M30" s="30">
        <f t="shared" si="27"/>
        <v>0</v>
      </c>
      <c r="N30" s="30">
        <f t="shared" ca="1" si="27"/>
        <v>736968</v>
      </c>
      <c r="O30" s="29">
        <f t="shared" ca="1" si="24"/>
        <v>41.097283780980447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1793228</v>
      </c>
      <c r="M32" s="38">
        <f t="shared" si="30"/>
        <v>0</v>
      </c>
      <c r="N32" s="38">
        <f t="shared" ca="1" si="30"/>
        <v>736968</v>
      </c>
      <c r="O32" s="38">
        <f t="shared" ca="1" si="29"/>
        <v>41.097283780980447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1793228</v>
      </c>
      <c r="M34" s="38">
        <f t="shared" si="32"/>
        <v>0</v>
      </c>
      <c r="N34" s="38">
        <f t="shared" ca="1" si="32"/>
        <v>736968</v>
      </c>
      <c r="O34" s="38">
        <f t="shared" ca="1" si="29"/>
        <v>41.097283780980447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2895720</v>
      </c>
      <c r="M37" s="54">
        <f t="shared" ca="1" si="33"/>
        <v>1692840</v>
      </c>
      <c r="N37" s="54">
        <f t="shared" ca="1" si="33"/>
        <v>1403586</v>
      </c>
      <c r="O37" s="55">
        <f t="shared" ca="1" si="29"/>
        <v>48.471053831171524</v>
      </c>
      <c r="P37" s="55">
        <f t="shared" ca="1" si="25"/>
        <v>82.913092790813067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694100</v>
      </c>
      <c r="M41" s="78">
        <f t="shared" ca="1" si="34"/>
        <v>347100</v>
      </c>
      <c r="N41" s="78">
        <f t="shared" ca="1" si="34"/>
        <v>254366</v>
      </c>
      <c r="O41" s="77">
        <f t="shared" ref="O41:O43" ca="1" si="35">IF(L41&gt;0,N41*100/L41,0)</f>
        <v>36.646880852903038</v>
      </c>
      <c r="P41" s="77">
        <f t="shared" ref="P41:P43" ca="1" si="36">IF(M41&gt;0,N41*100/M41,0)</f>
        <v>73.283203687698077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694100</v>
      </c>
      <c r="M43" s="78">
        <f t="shared" ca="1" si="38"/>
        <v>347100</v>
      </c>
      <c r="N43" s="78">
        <f t="shared" ca="1" si="38"/>
        <v>254366</v>
      </c>
      <c r="O43" s="77">
        <f t="shared" ca="1" si="35"/>
        <v>36.646880852903038</v>
      </c>
      <c r="P43" s="77">
        <f t="shared" ca="1" si="36"/>
        <v>73.283203687698077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694100</v>
      </c>
      <c r="M45" s="49">
        <f ca="1">IFERROR(__xludf.DUMMYFUNCTION("IMPORTRANGE(""https://docs.google.com/spreadsheets/d/1Yj_ptqi66GCucihVvJfMjLAmec39IyEx_6qawtMGysU/edit?usp=sharing"",""สบก!Q23"")"),347100)</f>
        <v>347100</v>
      </c>
      <c r="N45" s="49">
        <f ca="1">IFERROR(__xludf.DUMMYFUNCTION("IMPORTRANGE(""https://docs.google.com/spreadsheets/d/1Yj_ptqi66GCucihVvJfMjLAmec39IyEx_6qawtMGysU/edit?usp=sharing"",""สบก!R23"")"),254366)</f>
        <v>254366</v>
      </c>
      <c r="O45" s="38">
        <f ca="1">IF(L45&gt;0,N45*100/L45,0)</f>
        <v>36.646880852903038</v>
      </c>
      <c r="P45" s="38">
        <f ca="1">IF(M45&gt;0,N45*100/M45,0)</f>
        <v>73.283203687698077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IFERROR(__xludf.DUMMYFUNCTION("IMPORTRANGE(""https://docs.google.com/spreadsheets/d/1Yj_ptqi66GCucihVvJfMjLAmec39IyEx_6qawtMGysU/edit?usp=sharing"",""สบก!M23"")"),694100)</f>
        <v>694100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IFERROR(__xludf.DUMMYFUNCTION("IMPORTRANGE(""https://docs.google.com/spreadsheets/d/1Yj_ptqi66GCucihVvJfMjLAmec39IyEx_6qawtMGysU/edit?usp=sharing"",""สบก!N23"")"),0)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IFERROR(__xludf.DUMMYFUNCTION("IMPORTRANGE(""https://docs.google.com/spreadsheets/d/1Yj_ptqi66GCucihVvJfMjLAmec39IyEx_6qawtMGysU/edit?usp=sharing"",""สบก!O23"")"),0)</f>
        <v>0</v>
      </c>
      <c r="M49" s="49"/>
      <c r="N49" s="49">
        <f ca="1">IFERROR(__xludf.DUMMYFUNCTION("IMPORTRANGE(""https://docs.google.com/spreadsheets/d/1Yj_ptqi66GCucihVvJfMjLAmec39IyEx_6qawtMGysU/edit?usp=sharing"",""สบก!S23"")"),0)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400000</v>
      </c>
      <c r="M53" s="120">
        <f t="shared" ca="1" si="39"/>
        <v>219860</v>
      </c>
      <c r="N53" s="120">
        <f t="shared" ca="1" si="39"/>
        <v>182010</v>
      </c>
      <c r="O53" s="119">
        <f t="shared" ref="O53:O55" ca="1" si="40">IF(L53&gt;0,N53*100/L53,0)</f>
        <v>45.502499999999998</v>
      </c>
      <c r="P53" s="119">
        <f t="shared" ref="P53:P55" ca="1" si="41">IF(M53&gt;0,N53*100/M53,0)</f>
        <v>82.784499226780682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400000</v>
      </c>
      <c r="M55" s="120">
        <f t="shared" ca="1" si="43"/>
        <v>219860</v>
      </c>
      <c r="N55" s="120">
        <f t="shared" ca="1" si="43"/>
        <v>182010</v>
      </c>
      <c r="O55" s="119">
        <f t="shared" ca="1" si="40"/>
        <v>45.502499999999998</v>
      </c>
      <c r="P55" s="119">
        <f t="shared" ca="1" si="41"/>
        <v>82.784499226780682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IFERROR(__xludf.DUMMYFUNCTION("IMPORTRANGE(""https://docs.google.com/spreadsheets/d/1Yj_ptqi66GCucihVvJfMjLAmec39IyEx_6qawtMGysU/edit?usp=sharing"",""สบก!Z23"")"),219860)</f>
        <v>219860</v>
      </c>
      <c r="N57" s="49">
        <f ca="1">IFERROR(__xludf.DUMMYFUNCTION("IMPORTRANGE(""https://docs.google.com/spreadsheets/d/1Yj_ptqi66GCucihVvJfMjLAmec39IyEx_6qawtMGysU/edit?usp=sharing"",""สบก!AA23"")"),182010)</f>
        <v>182010</v>
      </c>
      <c r="O57" s="38">
        <f ca="1">IF(L57&gt;0,N57*100/L57,0)</f>
        <v>45.502499999999998</v>
      </c>
      <c r="P57" s="38">
        <f ca="1">IF(M57&gt;0,N57*100/M57,0)</f>
        <v>82.784499226780682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IFERROR(__xludf.DUMMYFUNCTION("IMPORTRANGE(""https://docs.google.com/spreadsheets/d/1Yj_ptqi66GCucihVvJfMjLAmec39IyEx_6qawtMGysU/edit?usp=sharing"",""สบก!V23"")"),400000)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IFERROR(__xludf.DUMMYFUNCTION("IMPORTRANGE(""https://docs.google.com/spreadsheets/d/1Yj_ptqi66GCucihVvJfMjLAmec39IyEx_6qawtMGysU/edit?usp=sharing"",""สบก!W23"")"),0)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IFERROR(__xludf.DUMMYFUNCTION("IMPORTRANGE(""https://docs.google.com/spreadsheets/d/1Yj_ptqi66GCucihVvJfMjLAmec39IyEx_6qawtMGysU/edit?usp=sharing"",""สบก!X23"")"),0)</f>
        <v>0</v>
      </c>
      <c r="M61" s="49"/>
      <c r="N61" s="49">
        <f ca="1">IFERROR(__xludf.DUMMYFUNCTION("IMPORTRANGE(""https://docs.google.com/spreadsheets/d/1Yj_ptqi66GCucihVvJfMjLAmec39IyEx_6qawtMGysU/edit?usp=sharing"",""สบก!AB23"")"),0)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IFERROR(__xludf.DUMMYFUNCTION("IMPORTRANGE(""https://docs.google.com/spreadsheets/d/11923uPwbBZFjjGgGUA6NLw09EwE0CqkOc4q9oUmW1yo/edit?usp=sharing"",""ตาก!I9"")"),0)</f>
        <v>0</v>
      </c>
      <c r="J64" s="141">
        <f ca="1">IFERROR(__xludf.DUMMYFUNCTION("IMPORTRANGE(""https://docs.google.com/spreadsheets/d/11923uPwbBZFjjGgGUA6NLw09EwE0CqkOc4q9oUmW1yo/edit?usp=sharing"",""ตาก!J9"")"),0)</f>
        <v>0</v>
      </c>
      <c r="K64" s="142">
        <f t="shared" ref="K64:K65" ca="1" si="44">IF(I64&gt;0,J64*100/I64,0)</f>
        <v>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IFERROR(__xludf.DUMMYFUNCTION("IMPORTRANGE(""https://docs.google.com/spreadsheets/d/11923uPwbBZFjjGgGUA6NLw09EwE0CqkOc4q9oUmW1yo/edit?usp=sharing"",""ตาก!I10"")"),0)</f>
        <v>0</v>
      </c>
      <c r="J65" s="141">
        <f ca="1">IFERROR(__xludf.DUMMYFUNCTION("IMPORTRANGE(""https://docs.google.com/spreadsheets/d/11923uPwbBZFjjGgGUA6NLw09EwE0CqkOc4q9oUmW1yo/edit?usp=sharing"",""ตาก!J10"")"),0)</f>
        <v>0</v>
      </c>
      <c r="K65" s="142">
        <f t="shared" ca="1" si="44"/>
        <v>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0</v>
      </c>
      <c r="M66" s="151">
        <f t="shared" ca="1" si="45"/>
        <v>0</v>
      </c>
      <c r="N66" s="151">
        <f t="shared" ca="1" si="45"/>
        <v>0</v>
      </c>
      <c r="O66" s="150">
        <f t="shared" ref="O66:O68" ca="1" si="46">IF(L66&gt;0,N66*100/L66,0)</f>
        <v>0</v>
      </c>
      <c r="P66" s="150">
        <f t="shared" ref="P66:P68" ca="1" si="47">IF(M66&gt;0,N66*100/M66,0)</f>
        <v>0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0</v>
      </c>
      <c r="M68" s="87">
        <f t="shared" ca="1" si="49"/>
        <v>0</v>
      </c>
      <c r="N68" s="87">
        <f t="shared" ca="1" si="49"/>
        <v>0</v>
      </c>
      <c r="O68" s="155">
        <f t="shared" ca="1" si="46"/>
        <v>0</v>
      </c>
      <c r="P68" s="155">
        <f t="shared" ca="1" si="47"/>
        <v>0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IFERROR(__xludf.DUMMYFUNCTION("IMPORTRANGE(""https://docs.google.com/spreadsheets/d/1Yj_ptqi66GCucihVvJfMjLAmec39IyEx_6qawtMGysU/edit?usp=sharing"",""สบก!AI23"")"),0)</f>
        <v>0</v>
      </c>
      <c r="N70" s="168">
        <f ca="1">IFERROR(__xludf.DUMMYFUNCTION("IMPORTRANGE(""https://docs.google.com/spreadsheets/d/1Yj_ptqi66GCucihVvJfMjLAmec39IyEx_6qawtMGysU/edit?usp=sharing"",""สบก!AJ23"")"),0)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IFERROR(__xludf.DUMMYFUNCTION("IMPORTRANGE(""https://docs.google.com/spreadsheets/d/1Yj_ptqi66GCucihVvJfMjLAmec39IyEx_6qawtMGysU/edit?usp=sharing"",""สบก!AE23"")"),0)</f>
        <v>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IFERROR(__xludf.DUMMYFUNCTION("IMPORTRANGE(""https://docs.google.com/spreadsheets/d/1Yj_ptqi66GCucihVvJfMjLAmec39IyEx_6qawtMGysU/edit?usp=sharing"",""สบก!AF23"")"),0)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IFERROR(__xludf.DUMMYFUNCTION("IMPORTRANGE(""https://docs.google.com/spreadsheets/d/1Yj_ptqi66GCucihVvJfMjLAmec39IyEx_6qawtMGysU/edit?usp=sharing"",""สบก!AG23"")"),0)</f>
        <v>0</v>
      </c>
      <c r="M74" s="49"/>
      <c r="N74" s="49">
        <f ca="1">IFERROR(__xludf.DUMMYFUNCTION("IMPORTRANGE(""https://docs.google.com/spreadsheets/d/1Yj_ptqi66GCucihVvJfMjLAmec39IyEx_6qawtMGysU/edit?usp=sharing"",""สบก!AK23"")"),0)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IFERROR(__xludf.DUMMYFUNCTION("IMPORTRANGE(""https://docs.google.com/spreadsheets/d/11923uPwbBZFjjGgGUA6NLw09EwE0CqkOc4q9oUmW1yo/edit?usp=sharing"",""ตาก!J16"")"),0)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IFERROR(__xludf.DUMMYFUNCTION("IMPORTRANGE(""https://docs.google.com/spreadsheets/d/11923uPwbBZFjjGgGUA6NLw09EwE0CqkOc4q9oUmW1yo/edit?usp=sharing"",""ตาก!J17"")"),0)</f>
        <v>0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IFERROR(__xludf.DUMMYFUNCTION("IMPORTRANGE(""https://docs.google.com/spreadsheets/d/11923uPwbBZFjjGgGUA6NLw09EwE0CqkOc4q9oUmW1yo/edit?usp=sharing"",""ตาก!J18"")"),0)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IFERROR(__xludf.DUMMYFUNCTION("IMPORTRANGE(""https://docs.google.com/spreadsheets/d/11923uPwbBZFjjGgGUA6NLw09EwE0CqkOc4q9oUmW1yo/edit?usp=sharing"",""ตาก!J19"")"),0)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IFERROR(__xludf.DUMMYFUNCTION("IMPORTRANGE(""https://docs.google.com/spreadsheets/d/11923uPwbBZFjjGgGUA6NLw09EwE0CqkOc4q9oUmW1yo/edit?usp=sharing"",""ตาก!I20"")"),0)</f>
        <v>0</v>
      </c>
      <c r="J80" s="200">
        <f ca="1">IFERROR(__xludf.DUMMYFUNCTION("IMPORTRANGE(""https://docs.google.com/spreadsheets/d/11923uPwbBZFjjGgGUA6NLw09EwE0CqkOc4q9oUmW1yo/edit?usp=sharing"",""ตาก!J20"")"),0)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IFERROR(__xludf.DUMMYFUNCTION("IMPORTRANGE(""https://docs.google.com/spreadsheets/d/11923uPwbBZFjjGgGUA6NLw09EwE0CqkOc4q9oUmW1yo/edit?usp=sharing"",""ตาก!I21"")"),0)</f>
        <v>0</v>
      </c>
      <c r="J81" s="200">
        <f ca="1">IFERROR(__xludf.DUMMYFUNCTION("IMPORTRANGE(""https://docs.google.com/spreadsheets/d/11923uPwbBZFjjGgGUA6NLw09EwE0CqkOc4q9oUmW1yo/edit?usp=sharing"",""ตาก!J21"")"),0)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IFERROR(__xludf.DUMMYFUNCTION("IMPORTRANGE(""https://docs.google.com/spreadsheets/d/11923uPwbBZFjjGgGUA6NLw09EwE0CqkOc4q9oUmW1yo/edit?usp=sharing"",""ตาก!I22"")"),0)</f>
        <v>0</v>
      </c>
      <c r="J82" s="203">
        <f ca="1">IFERROR(__xludf.DUMMYFUNCTION("IMPORTRANGE(""https://docs.google.com/spreadsheets/d/11923uPwbBZFjjGgGUA6NLw09EwE0CqkOc4q9oUmW1yo/edit?usp=sharing"",""ตาก!J22"")"),0)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IFERROR(__xludf.DUMMYFUNCTION("IMPORTRANGE(""https://docs.google.com/spreadsheets/d/11923uPwbBZFjjGgGUA6NLw09EwE0CqkOc4q9oUmW1yo/edit?usp=sharing"",""ตาก!I23"")"),0)</f>
        <v>0</v>
      </c>
      <c r="J83" s="203">
        <f ca="1">IFERROR(__xludf.DUMMYFUNCTION("IMPORTRANGE(""https://docs.google.com/spreadsheets/d/11923uPwbBZFjjGgGUA6NLw09EwE0CqkOc4q9oUmW1yo/edit?usp=sharing"",""ตาก!J23"")"),0)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IFERROR(__xludf.DUMMYFUNCTION("IMPORTRANGE(""https://docs.google.com/spreadsheets/d/11923uPwbBZFjjGgGUA6NLw09EwE0CqkOc4q9oUmW1yo/edit?usp=sharing"",""ตาก!I24"")"),0)</f>
        <v>0</v>
      </c>
      <c r="J84" s="188">
        <f ca="1">IFERROR(__xludf.DUMMYFUNCTION("IMPORTRANGE(""https://docs.google.com/spreadsheets/d/11923uPwbBZFjjGgGUA6NLw09EwE0CqkOc4q9oUmW1yo/edit?usp=sharing"",""ตาก!J24"")"),0)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IFERROR(__xludf.DUMMYFUNCTION("IMPORTRANGE(""https://docs.google.com/spreadsheets/d/11923uPwbBZFjjGgGUA6NLw09EwE0CqkOc4q9oUmW1yo/edit?usp=sharing"",""ตาก!I25"")"),0)</f>
        <v>0</v>
      </c>
      <c r="J85" s="188">
        <f ca="1">IFERROR(__xludf.DUMMYFUNCTION("IMPORTRANGE(""https://docs.google.com/spreadsheets/d/11923uPwbBZFjjGgGUA6NLw09EwE0CqkOc4q9oUmW1yo/edit?usp=sharing"",""ตาก!J25"")"),0)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IFERROR(__xludf.DUMMYFUNCTION("IMPORTRANGE(""https://docs.google.com/spreadsheets/d/11923uPwbBZFjjGgGUA6NLw09EwE0CqkOc4q9oUmW1yo/edit?usp=sharing"",""ตาก!I26"")"),0)</f>
        <v>0</v>
      </c>
      <c r="J86" s="203">
        <f ca="1">IFERROR(__xludf.DUMMYFUNCTION("IMPORTRANGE(""https://docs.google.com/spreadsheets/d/11923uPwbBZFjjGgGUA6NLw09EwE0CqkOc4q9oUmW1yo/edit?usp=sharing"",""ตาก!J26"")"),0)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IFERROR(__xludf.DUMMYFUNCTION("IMPORTRANGE(""https://docs.google.com/spreadsheets/d/11923uPwbBZFjjGgGUA6NLw09EwE0CqkOc4q9oUmW1yo/edit?usp=sharing"",""ตาก!I27"")"),0)</f>
        <v>0</v>
      </c>
      <c r="J87" s="203">
        <f ca="1">IFERROR(__xludf.DUMMYFUNCTION("IMPORTRANGE(""https://docs.google.com/spreadsheets/d/11923uPwbBZFjjGgGUA6NLw09EwE0CqkOc4q9oUmW1yo/edit?usp=sharing"",""ตาก!J27"")"),0)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IFERROR(__xludf.DUMMYFUNCTION("IMPORTRANGE(""https://docs.google.com/spreadsheets/d/11923uPwbBZFjjGgGUA6NLw09EwE0CqkOc4q9oUmW1yo/edit?usp=sharing"",""ตาก!I28"")"),0)</f>
        <v>0</v>
      </c>
      <c r="J88" s="203">
        <f ca="1">IFERROR(__xludf.DUMMYFUNCTION("IMPORTRANGE(""https://docs.google.com/spreadsheets/d/11923uPwbBZFjjGgGUA6NLw09EwE0CqkOc4q9oUmW1yo/edit?usp=sharing"",""ตาก!J28"")"),0)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IFERROR(__xludf.DUMMYFUNCTION("IMPORTRANGE(""https://docs.google.com/spreadsheets/d/11923uPwbBZFjjGgGUA6NLw09EwE0CqkOc4q9oUmW1yo/edit?usp=sharing"",""ตาก!J29"")"),0)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IFERROR(__xludf.DUMMYFUNCTION("IMPORTRANGE(""https://docs.google.com/spreadsheets/d/11923uPwbBZFjjGgGUA6NLw09EwE0CqkOc4q9oUmW1yo/edit?usp=sharing"",""ตาก!J30"")"),0)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IFERROR(__xludf.DUMMYFUNCTION("IMPORTRANGE(""https://docs.google.com/spreadsheets/d/11923uPwbBZFjjGgGUA6NLw09EwE0CqkOc4q9oUmW1yo/edit?usp=sharing"",""ตาก!I32"")"),4)</f>
        <v>4</v>
      </c>
      <c r="J92" s="141">
        <f ca="1">IFERROR(__xludf.DUMMYFUNCTION("IMPORTRANGE(""https://docs.google.com/spreadsheets/d/11923uPwbBZFjjGgGUA6NLw09EwE0CqkOc4q9oUmW1yo/edit?usp=sharing"",""ตาก!J32"")"),4)</f>
        <v>4</v>
      </c>
      <c r="K92" s="142">
        <f t="shared" ref="K92:K93" ca="1" si="51">IF(I92&gt;0,J92*100/I92,0)</f>
        <v>100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IFERROR(__xludf.DUMMYFUNCTION("IMPORTRANGE(""https://docs.google.com/spreadsheets/d/11923uPwbBZFjjGgGUA6NLw09EwE0CqkOc4q9oUmW1yo/edit?usp=sharing"",""ตาก!I33"")"),1)</f>
        <v>1</v>
      </c>
      <c r="J93" s="141">
        <f ca="1">IFERROR(__xludf.DUMMYFUNCTION("IMPORTRANGE(""https://docs.google.com/spreadsheets/d/11923uPwbBZFjjGgGUA6NLw09EwE0CqkOc4q9oUmW1yo/edit?usp=sharing"",""ตาก!J33"")"),0)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214500</v>
      </c>
      <c r="M94" s="151">
        <f t="shared" ca="1" si="52"/>
        <v>161130</v>
      </c>
      <c r="N94" s="151">
        <f t="shared" ca="1" si="52"/>
        <v>120040</v>
      </c>
      <c r="O94" s="150">
        <f t="shared" ref="O94:O96" ca="1" si="53">IF(L94&gt;0,N94*100/L94,0)</f>
        <v>55.962703962703962</v>
      </c>
      <c r="P94" s="150">
        <f t="shared" ref="P94:P96" ca="1" si="54">IF(M94&gt;0,N94*100/M94,0)</f>
        <v>74.498851858747599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214500</v>
      </c>
      <c r="M96" s="87">
        <f t="shared" ca="1" si="56"/>
        <v>161130</v>
      </c>
      <c r="N96" s="87">
        <f t="shared" ca="1" si="56"/>
        <v>120040</v>
      </c>
      <c r="O96" s="155">
        <f t="shared" ca="1" si="53"/>
        <v>55.962703962703962</v>
      </c>
      <c r="P96" s="155">
        <f t="shared" ca="1" si="54"/>
        <v>74.498851858747599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IFERROR(__xludf.DUMMYFUNCTION("IMPORTRANGE(""https://docs.google.com/spreadsheets/d/1Yj_ptqi66GCucihVvJfMjLAmec39IyEx_6qawtMGysU/edit?usp=sharing"",""สบก!AR23"")"),68730)</f>
        <v>68730</v>
      </c>
      <c r="N98" s="168">
        <f ca="1">IFERROR(__xludf.DUMMYFUNCTION("IMPORTRANGE(""https://docs.google.com/spreadsheets/d/1Yj_ptqi66GCucihVvJfMjLAmec39IyEx_6qawtMGysU/edit?usp=sharing"",""สบก!AS23"")"),27640)</f>
        <v>27640</v>
      </c>
      <c r="O98" s="168">
        <f ca="1">IF(L98&gt;0,N98*100/L98,0)</f>
        <v>22.637182637182637</v>
      </c>
      <c r="P98" s="168">
        <f ca="1">IF(M98&gt;0,N98*100/M98,0)</f>
        <v>40.215335370289537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IFERROR(__xludf.DUMMYFUNCTION("IMPORTRANGE(""https://docs.google.com/spreadsheets/d/1Yj_ptqi66GCucihVvJfMjLAmec39IyEx_6qawtMGysU/edit?usp=sharing"",""สบก!AN23"")"),0)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IFERROR(__xludf.DUMMYFUNCTION("IMPORTRANGE(""https://docs.google.com/spreadsheets/d/1Yj_ptqi66GCucihVvJfMjLAmec39IyEx_6qawtMGysU/edit?usp=sharing"",""สบก!AO23"")"),122100)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IFERROR(__xludf.DUMMYFUNCTION("IMPORTRANGE(""https://docs.google.com/spreadsheets/d/1Yj_ptqi66GCucihVvJfMjLAmec39IyEx_6qawtMGysU/edit?usp=sharing"",""สบก!AP23"")"),92400)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IFERROR(__xludf.DUMMYFUNCTION("IMPORTRANGE(""https://docs.google.com/spreadsheets/d/1Yj_ptqi66GCucihVvJfMjLAmec39IyEx_6qawtMGysU/edit?usp=sharing"",""สบก!AT23"")"),92400)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IFERROR(__xludf.DUMMYFUNCTION("IMPORTRANGE(""https://docs.google.com/spreadsheets/d/11923uPwbBZFjjGgGUA6NLw09EwE0CqkOc4q9oUmW1yo/edit?usp=sharing"",""ตาก!J39"")"),0)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IFERROR(__xludf.DUMMYFUNCTION("IMPORTRANGE(""https://docs.google.com/spreadsheets/d/11923uPwbBZFjjGgGUA6NLw09EwE0CqkOc4q9oUmW1yo/edit?usp=sharing"",""ตาก!J40"")"),1)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IFERROR(__xludf.DUMMYFUNCTION("IMPORTRANGE(""https://docs.google.com/spreadsheets/d/11923uPwbBZFjjGgGUA6NLw09EwE0CqkOc4q9oUmW1yo/edit?usp=sharing"",""ตาก!J41"")"),1)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IFERROR(__xludf.DUMMYFUNCTION("IMPORTRANGE(""https://docs.google.com/spreadsheets/d/11923uPwbBZFjjGgGUA6NLw09EwE0CqkOc4q9oUmW1yo/edit?usp=sharing"",""ตาก!J42"")"),1)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IFERROR(__xludf.DUMMYFUNCTION("IMPORTRANGE(""https://docs.google.com/spreadsheets/d/11923uPwbBZFjjGgGUA6NLw09EwE0CqkOc4q9oUmW1yo/edit?usp=sharing"",""ตาก!I43"")"),1)</f>
        <v>1</v>
      </c>
      <c r="J108" s="203">
        <f ca="1">IFERROR(__xludf.DUMMYFUNCTION("IMPORTRANGE(""https://docs.google.com/spreadsheets/d/11923uPwbBZFjjGgGUA6NLw09EwE0CqkOc4q9oUmW1yo/edit?usp=sharing"",""ตาก!J43"")"),0)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IFERROR(__xludf.DUMMYFUNCTION("IMPORTRANGE(""https://docs.google.com/spreadsheets/d/11923uPwbBZFjjGgGUA6NLw09EwE0CqkOc4q9oUmW1yo/edit?usp=sharing"",""ตาก!I44"")"),4)</f>
        <v>4</v>
      </c>
      <c r="J109" s="203">
        <f ca="1">IFERROR(__xludf.DUMMYFUNCTION("IMPORTRANGE(""https://docs.google.com/spreadsheets/d/11923uPwbBZFjjGgGUA6NLw09EwE0CqkOc4q9oUmW1yo/edit?usp=sharing"",""ตาก!J44"")"),4)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IFERROR(__xludf.DUMMYFUNCTION("IMPORTRANGE(""https://docs.google.com/spreadsheets/d/11923uPwbBZFjjGgGUA6NLw09EwE0CqkOc4q9oUmW1yo/edit?usp=sharing"",""ตาก!I45"")"),4)</f>
        <v>4</v>
      </c>
      <c r="J110" s="203">
        <f ca="1">IFERROR(__xludf.DUMMYFUNCTION("IMPORTRANGE(""https://docs.google.com/spreadsheets/d/11923uPwbBZFjjGgGUA6NLw09EwE0CqkOc4q9oUmW1yo/edit?usp=sharing"",""ตาก!J45"")"),4)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IFERROR(__xludf.DUMMYFUNCTION("IMPORTRANGE(""https://docs.google.com/spreadsheets/d/11923uPwbBZFjjGgGUA6NLw09EwE0CqkOc4q9oUmW1yo/edit?usp=sharing"",""ตาก!I46"")"),4)</f>
        <v>4</v>
      </c>
      <c r="J111" s="203">
        <f ca="1">IFERROR(__xludf.DUMMYFUNCTION("IMPORTRANGE(""https://docs.google.com/spreadsheets/d/11923uPwbBZFjjGgGUA6NLw09EwE0CqkOc4q9oUmW1yo/edit?usp=sharing"",""ตาก!J46"")"),4)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IFERROR(__xludf.DUMMYFUNCTION("IMPORTRANGE(""https://docs.google.com/spreadsheets/d/11923uPwbBZFjjGgGUA6NLw09EwE0CqkOc4q9oUmW1yo/edit?usp=sharing"",""ตาก!I47"")"),4)</f>
        <v>4</v>
      </c>
      <c r="J112" s="203">
        <f ca="1">IFERROR(__xludf.DUMMYFUNCTION("IMPORTRANGE(""https://docs.google.com/spreadsheets/d/11923uPwbBZFjjGgGUA6NLw09EwE0CqkOc4q9oUmW1yo/edit?usp=sharing"",""ตาก!J47"")"),0)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IFERROR(__xludf.DUMMYFUNCTION("IMPORTRANGE(""https://docs.google.com/spreadsheets/d/11923uPwbBZFjjGgGUA6NLw09EwE0CqkOc4q9oUmW1yo/edit?usp=sharing"",""ตาก!I48"")"),1)</f>
        <v>1</v>
      </c>
      <c r="J113" s="203">
        <f ca="1">IFERROR(__xludf.DUMMYFUNCTION("IMPORTRANGE(""https://docs.google.com/spreadsheets/d/11923uPwbBZFjjGgGUA6NLw09EwE0CqkOc4q9oUmW1yo/edit?usp=sharing"",""ตาก!J48"")"),0)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IFERROR(__xludf.DUMMYFUNCTION("IMPORTRANGE(""https://docs.google.com/spreadsheets/d/11923uPwbBZFjjGgGUA6NLw09EwE0CqkOc4q9oUmW1yo/edit?usp=sharing"",""ตาก!J49"")"),0)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IFERROR(__xludf.DUMMYFUNCTION("IMPORTRANGE(""https://docs.google.com/spreadsheets/d/11923uPwbBZFjjGgGUA6NLw09EwE0CqkOc4q9oUmW1yo/edit?usp=sharing"",""ตาก!J50"")"),0)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IFERROR(__xludf.DUMMYFUNCTION("IMPORTRANGE(""https://docs.google.com/spreadsheets/d/11923uPwbBZFjjGgGUA6NLw09EwE0CqkOc4q9oUmW1yo/edit?usp=sharing"",""ตาก!I52"")"),20)</f>
        <v>20</v>
      </c>
      <c r="J117" s="141">
        <f ca="1">IFERROR(__xludf.DUMMYFUNCTION("IMPORTRANGE(""https://docs.google.com/spreadsheets/d/11923uPwbBZFjjGgGUA6NLw09EwE0CqkOc4q9oUmW1yo/edit?usp=sharing"",""ตาก!J52"")"),20)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42730</v>
      </c>
      <c r="O118" s="150">
        <f t="shared" ref="O118:O120" ca="1" si="59">IF(L118&gt;0,N118*100/L118,0)</f>
        <v>51.831635128578363</v>
      </c>
      <c r="P118" s="150">
        <f t="shared" ref="P118:P120" ca="1" si="60">IF(M118&gt;0,N118*100/M118,0)</f>
        <v>64.31366646598434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42730</v>
      </c>
      <c r="O120" s="155">
        <f t="shared" ca="1" si="59"/>
        <v>51.831635128578363</v>
      </c>
      <c r="P120" s="155">
        <f t="shared" ca="1" si="60"/>
        <v>64.31366646598434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IFERROR(__xludf.DUMMYFUNCTION("IMPORTRANGE(""https://docs.google.com/spreadsheets/d/1Yj_ptqi66GCucihVvJfMjLAmec39IyEx_6qawtMGysU/edit?usp=sharing"",""สบก!BA23"")"),66440)</f>
        <v>66440</v>
      </c>
      <c r="N122" s="168">
        <f ca="1">IFERROR(__xludf.DUMMYFUNCTION("IMPORTRANGE(""https://docs.google.com/spreadsheets/d/1Yj_ptqi66GCucihVvJfMjLAmec39IyEx_6qawtMGysU/edit?usp=sharing"",""สบก!BB23"")"),42730)</f>
        <v>42730</v>
      </c>
      <c r="O122" s="168">
        <f ca="1">IF(L122&gt;0,N122*100/L122,0)</f>
        <v>51.831635128578363</v>
      </c>
      <c r="P122" s="168">
        <f ca="1">IF(M122&gt;0,N122*100/M122,0)</f>
        <v>64.31366646598434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IFERROR(__xludf.DUMMYFUNCTION("IMPORTRANGE(""https://docs.google.com/spreadsheets/d/1Yj_ptqi66GCucihVvJfMjLAmec39IyEx_6qawtMGysU/edit?usp=sharing"",""สบก!AW23"")"),0)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IFERROR(__xludf.DUMMYFUNCTION("IMPORTRANGE(""https://docs.google.com/spreadsheets/d/1Yj_ptqi66GCucihVvJfMjLAmec39IyEx_6qawtMGysU/edit?usp=sharing"",""สบก!AX23"")"),82440)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IFERROR(__xludf.DUMMYFUNCTION("IMPORTRANGE(""https://docs.google.com/spreadsheets/d/1Yj_ptqi66GCucihVvJfMjLAmec39IyEx_6qawtMGysU/edit?usp=sharing"",""สบก!AY23"")"),0)</f>
        <v>0</v>
      </c>
      <c r="M126" s="49"/>
      <c r="N126" s="49">
        <f ca="1">IFERROR(__xludf.DUMMYFUNCTION("IMPORTRANGE(""https://docs.google.com/spreadsheets/d/1Yj_ptqi66GCucihVvJfMjLAmec39IyEx_6qawtMGysU/edit?usp=sharing"",""สบก!BC23"")"),0)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245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IFERROR(__xludf.DUMMYFUNCTION("IMPORTRANGE(""https://docs.google.com/spreadsheets/d/11923uPwbBZFjjGgGUA6NLw09EwE0CqkOc4q9oUmW1yo/edit?usp=sharing"",""ตาก!J58"")"),0)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IFERROR(__xludf.DUMMYFUNCTION("IMPORTRANGE(""https://docs.google.com/spreadsheets/d/11923uPwbBZFjjGgGUA6NLw09EwE0CqkOc4q9oUmW1yo/edit?usp=sharing"",""ตาก!J59"")"),1)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IFERROR(__xludf.DUMMYFUNCTION("IMPORTRANGE(""https://docs.google.com/spreadsheets/d/11923uPwbBZFjjGgGUA6NLw09EwE0CqkOc4q9oUmW1yo/edit?usp=sharing"",""ตาก!J60"")"),1)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IFERROR(__xludf.DUMMYFUNCTION("IMPORTRANGE(""https://docs.google.com/spreadsheets/d/11923uPwbBZFjjGgGUA6NLw09EwE0CqkOc4q9oUmW1yo/edit?usp=sharing"",""ตาก!J61"")"),1)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IFERROR(__xludf.DUMMYFUNCTION("IMPORTRANGE(""https://docs.google.com/spreadsheets/d/11923uPwbBZFjjGgGUA6NLw09EwE0CqkOc4q9oUmW1yo/edit?usp=sharing"",""ตาก!I62"")"),20)</f>
        <v>20</v>
      </c>
      <c r="J132" s="203">
        <f ca="1">IFERROR(__xludf.DUMMYFUNCTION("IMPORTRANGE(""https://docs.google.com/spreadsheets/d/11923uPwbBZFjjGgGUA6NLw09EwE0CqkOc4q9oUmW1yo/edit?usp=sharing"",""ตาก!J62"")"),20)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IFERROR(__xludf.DUMMYFUNCTION("IMPORTRANGE(""https://docs.google.com/spreadsheets/d/11923uPwbBZFjjGgGUA6NLw09EwE0CqkOc4q9oUmW1yo/edit?usp=sharing"",""ตาก!I63"")"),20)</f>
        <v>20</v>
      </c>
      <c r="J133" s="203">
        <f ca="1">IFERROR(__xludf.DUMMYFUNCTION("IMPORTRANGE(""https://docs.google.com/spreadsheets/d/11923uPwbBZFjjGgGUA6NLw09EwE0CqkOc4q9oUmW1yo/edit?usp=sharing"",""ตาก!J63"")"),18)</f>
        <v>18</v>
      </c>
      <c r="K133" s="223">
        <f t="shared" ca="1" si="63"/>
        <v>90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IFERROR(__xludf.DUMMYFUNCTION("IMPORTRANGE(""https://docs.google.com/spreadsheets/d/11923uPwbBZFjjGgGUA6NLw09EwE0CqkOc4q9oUmW1yo/edit?usp=sharing"",""ตาก!J64"")"),0)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IFERROR(__xludf.DUMMYFUNCTION("IMPORTRANGE(""https://docs.google.com/spreadsheets/d/11923uPwbBZFjjGgGUA6NLw09EwE0CqkOc4q9oUmW1yo/edit?usp=sharing"",""ตาก!J65"")"),0)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IFERROR(__xludf.DUMMYFUNCTION("IMPORTRANGE(""https://docs.google.com/spreadsheets/d/11923uPwbBZFjjGgGUA6NLw09EwE0CqkOc4q9oUmW1yo/edit?usp=sharing"",""ตาก!I68"")"),0)</f>
        <v>0</v>
      </c>
      <c r="J138" s="266">
        <f ca="1">IFERROR(__xludf.DUMMYFUNCTION("IMPORTRANGE(""https://docs.google.com/spreadsheets/d/11923uPwbBZFjjGgGUA6NLw09EwE0CqkOc4q9oUmW1yo/edit?usp=sharing"",""ตาก!J68"")"),0)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69000</v>
      </c>
      <c r="M140" s="151">
        <f t="shared" ca="1" si="64"/>
        <v>53750</v>
      </c>
      <c r="N140" s="151">
        <f t="shared" ca="1" si="64"/>
        <v>29065</v>
      </c>
      <c r="O140" s="150">
        <f t="shared" ref="O140:O142" ca="1" si="65">IF(L140&gt;0,N140*100/L140,0)</f>
        <v>42.123188405797102</v>
      </c>
      <c r="P140" s="150">
        <f t="shared" ref="P140:P142" ca="1" si="66">IF(M140&gt;0,N140*100/M140,0)</f>
        <v>54.074418604651164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69000</v>
      </c>
      <c r="M142" s="87">
        <f t="shared" ca="1" si="68"/>
        <v>53750</v>
      </c>
      <c r="N142" s="87">
        <f t="shared" ca="1" si="68"/>
        <v>29065</v>
      </c>
      <c r="O142" s="155">
        <f t="shared" ca="1" si="65"/>
        <v>42.123188405797102</v>
      </c>
      <c r="P142" s="155">
        <f t="shared" ca="1" si="66"/>
        <v>54.074418604651164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IFERROR(__xludf.DUMMYFUNCTION("IMPORTRANGE(""https://docs.google.com/spreadsheets/d/1Yj_ptqi66GCucihVvJfMjLAmec39IyEx_6qawtMGysU/edit?usp=sharing"",""สบก!BJ23"")"),53750)</f>
        <v>53750</v>
      </c>
      <c r="N144" s="168">
        <f ca="1">IFERROR(__xludf.DUMMYFUNCTION("IMPORTRANGE(""https://docs.google.com/spreadsheets/d/1Yj_ptqi66GCucihVvJfMjLAmec39IyEx_6qawtMGysU/edit?usp=sharing"",""สบก!BK23"")"),29065)</f>
        <v>29065</v>
      </c>
      <c r="O144" s="168">
        <f ca="1">IF(L144&gt;0,N144*100/L144,0)</f>
        <v>42.123188405797102</v>
      </c>
      <c r="P144" s="168">
        <f ca="1">IF(M144&gt;0,N144*100/M144,0)</f>
        <v>54.074418604651164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IFERROR(__xludf.DUMMYFUNCTION("IMPORTRANGE(""https://docs.google.com/spreadsheets/d/1Yj_ptqi66GCucihVvJfMjLAmec39IyEx_6qawtMGysU/edit?usp=sharing"",""สบก!BF23"")"),0)</f>
        <v>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IFERROR(__xludf.DUMMYFUNCTION("IMPORTRANGE(""https://docs.google.com/spreadsheets/d/1Yj_ptqi66GCucihVvJfMjLAmec39IyEx_6qawtMGysU/edit?usp=sharing"",""สบก!BG23"")"),69000)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IFERROR(__xludf.DUMMYFUNCTION("IMPORTRANGE(""https://docs.google.com/spreadsheets/d/1Yj_ptqi66GCucihVvJfMjLAmec39IyEx_6qawtMGysU/edit?usp=sharing"",""สบก!BH23"")"),0)</f>
        <v>0</v>
      </c>
      <c r="M148" s="49"/>
      <c r="N148" s="49">
        <f ca="1">IFERROR(__xludf.DUMMYFUNCTION("IMPORTRANGE(""https://docs.google.com/spreadsheets/d/1Yj_ptqi66GCucihVvJfMjLAmec39IyEx_6qawtMGysU/edit?usp=sharing"",""สบก!BL23"")"),0)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IFERROR(__xludf.DUMMYFUNCTION("IMPORTRANGE(""https://docs.google.com/spreadsheets/d/11923uPwbBZFjjGgGUA6NLw09EwE0CqkOc4q9oUmW1yo/edit?usp=sharing"",""ตาก!I74"")"),4)</f>
        <v>4</v>
      </c>
      <c r="J149" s="274">
        <f ca="1">IFERROR(__xludf.DUMMYFUNCTION("IMPORTRANGE(""https://docs.google.com/spreadsheets/d/11923uPwbBZFjjGgGUA6NLw09EwE0CqkOc4q9oUmW1yo/edit?usp=sharing"",""ตาก!J74"")"),1)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IFERROR(__xludf.DUMMYFUNCTION("IMPORTRANGE(""https://docs.google.com/spreadsheets/d/11923uPwbBZFjjGgGUA6NLw09EwE0CqkOc4q9oUmW1yo/edit?usp=sharing"",""ตาก!J79"")"),0)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IFERROR(__xludf.DUMMYFUNCTION("IMPORTRANGE(""https://docs.google.com/spreadsheets/d/11923uPwbBZFjjGgGUA6NLw09EwE0CqkOc4q9oUmW1yo/edit?usp=sharing"",""ตาก!J80"")"),1)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IFERROR(__xludf.DUMMYFUNCTION("IMPORTRANGE(""https://docs.google.com/spreadsheets/d/11923uPwbBZFjjGgGUA6NLw09EwE0CqkOc4q9oUmW1yo/edit?usp=sharing"",""ตาก!J81"")"),1)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IFERROR(__xludf.DUMMYFUNCTION("IMPORTRANGE(""https://docs.google.com/spreadsheets/d/11923uPwbBZFjjGgGUA6NLw09EwE0CqkOc4q9oUmW1yo/edit?usp=sharing"",""ตาก!J82"")"),1)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IFERROR(__xludf.DUMMYFUNCTION("IMPORTRANGE(""https://docs.google.com/spreadsheets/d/11923uPwbBZFjjGgGUA6NLw09EwE0CqkOc4q9oUmW1yo/edit?usp=sharing"",""ตาก!I83"")"),4)</f>
        <v>4</v>
      </c>
      <c r="J158" s="188">
        <f ca="1">IFERROR(__xludf.DUMMYFUNCTION("IMPORTRANGE(""https://docs.google.com/spreadsheets/d/11923uPwbBZFjjGgGUA6NLw09EwE0CqkOc4q9oUmW1yo/edit?usp=sharing"",""ตาก!J83"")"),1)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IFERROR(__xludf.DUMMYFUNCTION("IMPORTRANGE(""https://docs.google.com/spreadsheets/d/11923uPwbBZFjjGgGUA6NLw09EwE0CqkOc4q9oUmW1yo/edit?usp=sharing"",""ตาก!J84"")"),24)</f>
        <v>24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IFERROR(__xludf.DUMMYFUNCTION("IMPORTRANGE(""https://docs.google.com/spreadsheets/d/11923uPwbBZFjjGgGUA6NLw09EwE0CqkOc4q9oUmW1yo/edit?usp=sharing"",""ตาก!J85"")"),24)</f>
        <v>24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IFERROR(__xludf.DUMMYFUNCTION("IMPORTRANGE(""https://docs.google.com/spreadsheets/d/11923uPwbBZFjjGgGUA6NLw09EwE0CqkOc4q9oUmW1yo/edit?usp=sharing"",""ตาก!J86"")"),0)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IFERROR(__xludf.DUMMYFUNCTION("IMPORTRANGE(""https://docs.google.com/spreadsheets/d/11923uPwbBZFjjGgGUA6NLw09EwE0CqkOc4q9oUmW1yo/edit?usp=sharing"",""ตาก!J87"")"),0)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IFERROR(__xludf.DUMMYFUNCTION("IMPORTRANGE(""https://docs.google.com/spreadsheets/d/11923uPwbBZFjjGgGUA6NLw09EwE0CqkOc4q9oUmW1yo/edit?usp=sharing"",""ตาก!J88"")"),0)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IFERROR(__xludf.DUMMYFUNCTION("IMPORTRANGE(""https://docs.google.com/spreadsheets/d/11923uPwbBZFjjGgGUA6NLw09EwE0CqkOc4q9oUmW1yo/edit?usp=sharing"",""ตาก!I89"")"),3)</f>
        <v>3</v>
      </c>
      <c r="J164" s="282">
        <f ca="1">IFERROR(__xludf.DUMMYFUNCTION("IMPORTRANGE(""https://docs.google.com/spreadsheets/d/11923uPwbBZFjjGgGUA6NLw09EwE0CqkOc4q9oUmW1yo/edit?usp=sharing"",""ตาก!J89"")"),3)</f>
        <v>3</v>
      </c>
      <c r="K164" s="283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IFERROR(__xludf.DUMMYFUNCTION("IMPORTRANGE(""https://docs.google.com/spreadsheets/d/11923uPwbBZFjjGgGUA6NLw09EwE0CqkOc4q9oUmW1yo/edit?usp=sharing"",""ตาก!J94"")"),0)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IFERROR(__xludf.DUMMYFUNCTION("IMPORTRANGE(""https://docs.google.com/spreadsheets/d/11923uPwbBZFjjGgGUA6NLw09EwE0CqkOc4q9oUmW1yo/edit?usp=sharing"",""ตาก!J95"")"),1)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IFERROR(__xludf.DUMMYFUNCTION("IMPORTRANGE(""https://docs.google.com/spreadsheets/d/11923uPwbBZFjjGgGUA6NLw09EwE0CqkOc4q9oUmW1yo/edit?usp=sharing"",""ตาก!J96"")"),1)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IFERROR(__xludf.DUMMYFUNCTION("IMPORTRANGE(""https://docs.google.com/spreadsheets/d/11923uPwbBZFjjGgGUA6NLw09EwE0CqkOc4q9oUmW1yo/edit?usp=sharing"",""ตาก!J97"")"),1)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IFERROR(__xludf.DUMMYFUNCTION("IMPORTRANGE(""https://docs.google.com/spreadsheets/d/11923uPwbBZFjjGgGUA6NLw09EwE0CqkOc4q9oUmW1yo/edit?usp=sharing"",""ตาก!I98"")"),3)</f>
        <v>3</v>
      </c>
      <c r="J173" s="188">
        <f ca="1">IFERROR(__xludf.DUMMYFUNCTION("IMPORTRANGE(""https://docs.google.com/spreadsheets/d/11923uPwbBZFjjGgGUA6NLw09EwE0CqkOc4q9oUmW1yo/edit?usp=sharing"",""ตาก!J98"")"),3)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IFERROR(__xludf.DUMMYFUNCTION("IMPORTRANGE(""https://docs.google.com/spreadsheets/d/11923uPwbBZFjjGgGUA6NLw09EwE0CqkOc4q9oUmW1yo/edit?usp=sharing"",""ตาก!J99"")"),0)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IFERROR(__xludf.DUMMYFUNCTION("IMPORTRANGE(""https://docs.google.com/spreadsheets/d/11923uPwbBZFjjGgGUA6NLw09EwE0CqkOc4q9oUmW1yo/edit?usp=sharing"",""ตาก!J100"")"),0)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IFERROR(__xludf.DUMMYFUNCTION("IMPORTRANGE(""https://docs.google.com/spreadsheets/d/11923uPwbBZFjjGgGUA6NLw09EwE0CqkOc4q9oUmW1yo/edit?usp=sharing"",""ตาก!I101"")"),0)</f>
        <v>0</v>
      </c>
      <c r="J176" s="282">
        <f ca="1">IFERROR(__xludf.DUMMYFUNCTION("IMPORTRANGE(""https://docs.google.com/spreadsheets/d/11923uPwbBZFjjGgGUA6NLw09EwE0CqkOc4q9oUmW1yo/edit?usp=sharing"",""ตาก!J101"")"),0)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IFERROR(__xludf.DUMMYFUNCTION("IMPORTRANGE(""https://docs.google.com/spreadsheets/d/11923uPwbBZFjjGgGUA6NLw09EwE0CqkOc4q9oUmW1yo/edit?usp=sharing"",""ตาก!J106"")"),0)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IFERROR(__xludf.DUMMYFUNCTION("IMPORTRANGE(""https://docs.google.com/spreadsheets/d/11923uPwbBZFjjGgGUA6NLw09EwE0CqkOc4q9oUmW1yo/edit?usp=sharing"",""ตาก!J107"")"),0)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IFERROR(__xludf.DUMMYFUNCTION("IMPORTRANGE(""https://docs.google.com/spreadsheets/d/11923uPwbBZFjjGgGUA6NLw09EwE0CqkOc4q9oUmW1yo/edit?usp=sharing"",""ตาก!J108"")"),0)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IFERROR(__xludf.DUMMYFUNCTION("IMPORTRANGE(""https://docs.google.com/spreadsheets/d/11923uPwbBZFjjGgGUA6NLw09EwE0CqkOc4q9oUmW1yo/edit?usp=sharing"",""ตาก!J109"")"),0)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IFERROR(__xludf.DUMMYFUNCTION("IMPORTRANGE(""https://docs.google.com/spreadsheets/d/11923uPwbBZFjjGgGUA6NLw09EwE0CqkOc4q9oUmW1yo/edit?usp=sharing"",""ตาก!I110"")"),0)</f>
        <v>0</v>
      </c>
      <c r="J185" s="203">
        <f ca="1">IFERROR(__xludf.DUMMYFUNCTION("IMPORTRANGE(""https://docs.google.com/spreadsheets/d/11923uPwbBZFjjGgGUA6NLw09EwE0CqkOc4q9oUmW1yo/edit?usp=sharing"",""ตาก!J110"")"),0)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IFERROR(__xludf.DUMMYFUNCTION("IMPORTRANGE(""https://docs.google.com/spreadsheets/d/11923uPwbBZFjjGgGUA6NLw09EwE0CqkOc4q9oUmW1yo/edit?usp=sharing"",""ตาก!I111"")"),0)</f>
        <v>0</v>
      </c>
      <c r="J186" s="203">
        <f ca="1">IFERROR(__xludf.DUMMYFUNCTION("IMPORTRANGE(""https://docs.google.com/spreadsheets/d/11923uPwbBZFjjGgGUA6NLw09EwE0CqkOc4q9oUmW1yo/edit?usp=sharing"",""ตาก!J111"")"),0)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IFERROR(__xludf.DUMMYFUNCTION("IMPORTRANGE(""https://docs.google.com/spreadsheets/d/11923uPwbBZFjjGgGUA6NLw09EwE0CqkOc4q9oUmW1yo/edit?usp=sharing"",""ตาก!J112"")"),0)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IFERROR(__xludf.DUMMYFUNCTION("IMPORTRANGE(""https://docs.google.com/spreadsheets/d/11923uPwbBZFjjGgGUA6NLw09EwE0CqkOc4q9oUmW1yo/edit?usp=sharing"",""ตาก!J113"")"),0)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IFERROR(__xludf.DUMMYFUNCTION("IMPORTRANGE(""https://docs.google.com/spreadsheets/d/11923uPwbBZFjjGgGUA6NLw09EwE0CqkOc4q9oUmW1yo/edit?usp=sharing"",""ตาก!I114"")"),50000)</f>
        <v>50000</v>
      </c>
      <c r="J189" s="282">
        <f ca="1">IFERROR(__xludf.DUMMYFUNCTION("IMPORTRANGE(""https://docs.google.com/spreadsheets/d/11923uPwbBZFjjGgGUA6NLw09EwE0CqkOc4q9oUmW1yo/edit?usp=sharing"",""ตาก!J114"")"),0)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IFERROR(__xludf.DUMMYFUNCTION("IMPORTRANGE(""https://docs.google.com/spreadsheets/d/11923uPwbBZFjjGgGUA6NLw09EwE0CqkOc4q9oUmW1yo/edit?usp=sharing"",""ตาก!J119"")"),0)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IFERROR(__xludf.DUMMYFUNCTION("IMPORTRANGE(""https://docs.google.com/spreadsheets/d/11923uPwbBZFjjGgGUA6NLw09EwE0CqkOc4q9oUmW1yo/edit?usp=sharing"",""ตาก!J120"")"),1)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IFERROR(__xludf.DUMMYFUNCTION("IMPORTRANGE(""https://docs.google.com/spreadsheets/d/11923uPwbBZFjjGgGUA6NLw09EwE0CqkOc4q9oUmW1yo/edit?usp=sharing"",""ตาก!J121"")"),1)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IFERROR(__xludf.DUMMYFUNCTION("IMPORTRANGE(""https://docs.google.com/spreadsheets/d/11923uPwbBZFjjGgGUA6NLw09EwE0CqkOc4q9oUmW1yo/edit?usp=sharing"",""ตาก!J122"")"),1)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IFERROR(__xludf.DUMMYFUNCTION("IMPORTRANGE(""https://docs.google.com/spreadsheets/d/11923uPwbBZFjjGgGUA6NLw09EwE0CqkOc4q9oUmW1yo/edit?usp=sharing"",""ตาก!I124"")"),50000)</f>
        <v>50000</v>
      </c>
      <c r="J199" s="188">
        <f ca="1">IFERROR(__xludf.DUMMYFUNCTION("IMPORTRANGE(""https://docs.google.com/spreadsheets/d/11923uPwbBZFjjGgGUA6NLw09EwE0CqkOc4q9oUmW1yo/edit?usp=sharing"",""ตาก!J124"")"),50000)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IFERROR(__xludf.DUMMYFUNCTION("IMPORTRANGE(""https://docs.google.com/spreadsheets/d/11923uPwbBZFjjGgGUA6NLw09EwE0CqkOc4q9oUmW1yo/edit?usp=sharing"",""ตาก!I125"")"),50000)</f>
        <v>50000</v>
      </c>
      <c r="J200" s="188">
        <f ca="1">IFERROR(__xludf.DUMMYFUNCTION("IMPORTRANGE(""https://docs.google.com/spreadsheets/d/11923uPwbBZFjjGgGUA6NLw09EwE0CqkOc4q9oUmW1yo/edit?usp=sharing"",""ตาก!J125"")"),0)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IFERROR(__xludf.DUMMYFUNCTION("IMPORTRANGE(""https://docs.google.com/spreadsheets/d/11923uPwbBZFjjGgGUA6NLw09EwE0CqkOc4q9oUmW1yo/edit?usp=sharing"",""ตาก!I126"")"),0)</f>
        <v>0</v>
      </c>
      <c r="J201" s="188">
        <f ca="1">IFERROR(__xludf.DUMMYFUNCTION("IMPORTRANGE(""https://docs.google.com/spreadsheets/d/11923uPwbBZFjjGgGUA6NLw09EwE0CqkOc4q9oUmW1yo/edit?usp=sharing"",""ตาก!J126"")"),0)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IFERROR(__xludf.DUMMYFUNCTION("IMPORTRANGE(""https://docs.google.com/spreadsheets/d/11923uPwbBZFjjGgGUA6NLw09EwE0CqkOc4q9oUmW1yo/edit?usp=sharing"",""ตาก!J127"")"),0)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IFERROR(__xludf.DUMMYFUNCTION("IMPORTRANGE(""https://docs.google.com/spreadsheets/d/11923uPwbBZFjjGgGUA6NLw09EwE0CqkOc4q9oUmW1yo/edit?usp=sharing"",""ตาก!J128"")"),0)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IFERROR(__xludf.DUMMYFUNCTION("IMPORTRANGE(""https://docs.google.com/spreadsheets/d/11923uPwbBZFjjGgGUA6NLw09EwE0CqkOc4q9oUmW1yo/edit?usp=sharing"",""ตาก!I129"")"),0)</f>
        <v>0</v>
      </c>
      <c r="J204" s="282">
        <f ca="1">IFERROR(__xludf.DUMMYFUNCTION("IMPORTRANGE(""https://docs.google.com/spreadsheets/d/11923uPwbBZFjjGgGUA6NLw09EwE0CqkOc4q9oUmW1yo/edit?usp=sharing"",""ตาก!J129"")"),0)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IFERROR(__xludf.DUMMYFUNCTION("IMPORTRANGE(""https://docs.google.com/spreadsheets/d/11923uPwbBZFjjGgGUA6NLw09EwE0CqkOc4q9oUmW1yo/edit?usp=sharing"",""ตาก!J134"")"),0)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IFERROR(__xludf.DUMMYFUNCTION("IMPORTRANGE(""https://docs.google.com/spreadsheets/d/11923uPwbBZFjjGgGUA6NLw09EwE0CqkOc4q9oUmW1yo/edit?usp=sharing"",""ตาก!J135"")"),0)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IFERROR(__xludf.DUMMYFUNCTION("IMPORTRANGE(""https://docs.google.com/spreadsheets/d/11923uPwbBZFjjGgGUA6NLw09EwE0CqkOc4q9oUmW1yo/edit?usp=sharing"",""ตาก!J136"")"),0)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IFERROR(__xludf.DUMMYFUNCTION("IMPORTRANGE(""https://docs.google.com/spreadsheets/d/11923uPwbBZFjjGgGUA6NLw09EwE0CqkOc4q9oUmW1yo/edit?usp=sharing"",""ตาก!J137"")"),0)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IFERROR(__xludf.DUMMYFUNCTION("IMPORTRANGE(""https://docs.google.com/spreadsheets/d/11923uPwbBZFjjGgGUA6NLw09EwE0CqkOc4q9oUmW1yo/edit?usp=sharing"",""ตาก!I138"")"),0)</f>
        <v>0</v>
      </c>
      <c r="J213" s="203">
        <f ca="1">IFERROR(__xludf.DUMMYFUNCTION("IMPORTRANGE(""https://docs.google.com/spreadsheets/d/11923uPwbBZFjjGgGUA6NLw09EwE0CqkOc4q9oUmW1yo/edit?usp=sharing"",""ตาก!J138"")"),0)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IFERROR(__xludf.DUMMYFUNCTION("IMPORTRANGE(""https://docs.google.com/spreadsheets/d/11923uPwbBZFjjGgGUA6NLw09EwE0CqkOc4q9oUmW1yo/edit?usp=sharing"",""ตาก!I140"")"),0)</f>
        <v>0</v>
      </c>
      <c r="J215" s="203">
        <f ca="1">IFERROR(__xludf.DUMMYFUNCTION("IMPORTRANGE(""https://docs.google.com/spreadsheets/d/11923uPwbBZFjjGgGUA6NLw09EwE0CqkOc4q9oUmW1yo/edit?usp=sharing"",""ตาก!J140"")"),0)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IFERROR(__xludf.DUMMYFUNCTION("IMPORTRANGE(""https://docs.google.com/spreadsheets/d/11923uPwbBZFjjGgGUA6NLw09EwE0CqkOc4q9oUmW1yo/edit?usp=sharing"",""ตาก!I141"")"),0)</f>
        <v>0</v>
      </c>
      <c r="J216" s="203">
        <f ca="1">IFERROR(__xludf.DUMMYFUNCTION("IMPORTRANGE(""https://docs.google.com/spreadsheets/d/11923uPwbBZFjjGgGUA6NLw09EwE0CqkOc4q9oUmW1yo/edit?usp=sharing"",""ตาก!J141"")"),0)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IFERROR(__xludf.DUMMYFUNCTION("IMPORTRANGE(""https://docs.google.com/spreadsheets/d/11923uPwbBZFjjGgGUA6NLw09EwE0CqkOc4q9oUmW1yo/edit?usp=sharing"",""ตาก!J142"")"),0)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IFERROR(__xludf.DUMMYFUNCTION("IMPORTRANGE(""https://docs.google.com/spreadsheets/d/11923uPwbBZFjjGgGUA6NLw09EwE0CqkOc4q9oUmW1yo/edit?usp=sharing"",""ตาก!J143"")"),0)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IFERROR(__xludf.DUMMYFUNCTION("IMPORTRANGE(""https://docs.google.com/spreadsheets/d/11923uPwbBZFjjGgGUA6NLw09EwE0CqkOc4q9oUmW1yo/edit?usp=sharing"",""ตาก!I144"")"),14)</f>
        <v>14</v>
      </c>
      <c r="J219" s="266">
        <f ca="1">IFERROR(__xludf.DUMMYFUNCTION("IMPORTRANGE(""https://docs.google.com/spreadsheets/d/11923uPwbBZFjjGgGUA6NLw09EwE0CqkOc4q9oUmW1yo/edit?usp=sharing"",""ตาก!J144"")"),14)</f>
        <v>14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20210</v>
      </c>
      <c r="M220" s="151">
        <f t="shared" ca="1" si="72"/>
        <v>20210</v>
      </c>
      <c r="N220" s="151">
        <f t="shared" ca="1" si="72"/>
        <v>20210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20210</v>
      </c>
      <c r="M222" s="87">
        <f t="shared" ca="1" si="76"/>
        <v>20210</v>
      </c>
      <c r="N222" s="87">
        <f t="shared" ca="1" si="76"/>
        <v>20210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IFERROR(__xludf.DUMMYFUNCTION("IMPORTRANGE(""https://docs.google.com/spreadsheets/d/1Yj_ptqi66GCucihVvJfMjLAmec39IyEx_6qawtMGysU/edit?usp=sharing"",""สบก!BS23"")"),20210)</f>
        <v>20210</v>
      </c>
      <c r="N224" s="168">
        <f ca="1">IFERROR(__xludf.DUMMYFUNCTION("IMPORTRANGE(""https://docs.google.com/spreadsheets/d/1Yj_ptqi66GCucihVvJfMjLAmec39IyEx_6qawtMGysU/edit?usp=sharing"",""สบก!BT23"")"),20210)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IFERROR(__xludf.DUMMYFUNCTION("IMPORTRANGE(""https://docs.google.com/spreadsheets/d/1Yj_ptqi66GCucihVvJfMjLAmec39IyEx_6qawtMGysU/edit?usp=sharing"",""สบก!BO23"")"),0)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IFERROR(__xludf.DUMMYFUNCTION("IMPORTRANGE(""https://docs.google.com/spreadsheets/d/1Yj_ptqi66GCucihVvJfMjLAmec39IyEx_6qawtMGysU/edit?usp=sharing"",""สบก!BP23"")"),20210)</f>
        <v>20210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IFERROR(__xludf.DUMMYFUNCTION("IMPORTRANGE(""https://docs.google.com/spreadsheets/d/1Yj_ptqi66GCucihVvJfMjLAmec39IyEx_6qawtMGysU/edit?usp=sharing"",""สบก!BQ23"")"),0)</f>
        <v>0</v>
      </c>
      <c r="M228" s="49"/>
      <c r="N228" s="49">
        <f ca="1">IFERROR(__xludf.DUMMYFUNCTION("IMPORTRANGE(""https://docs.google.com/spreadsheets/d/1Yj_ptqi66GCucihVvJfMjLAmec39IyEx_6qawtMGysU/edit?usp=sharing"",""สบก!BU23"")"),0)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IFERROR(__xludf.DUMMYFUNCTION("IMPORTRANGE(""https://docs.google.com/spreadsheets/d/11923uPwbBZFjjGgGUA6NLw09EwE0CqkOc4q9oUmW1yo/edit?usp=sharing"",""ตาก!I149"")"),14)</f>
        <v>14</v>
      </c>
      <c r="J229" s="266">
        <f ca="1">IFERROR(__xludf.DUMMYFUNCTION("IMPORTRANGE(""https://docs.google.com/spreadsheets/d/11923uPwbBZFjjGgGUA6NLw09EwE0CqkOc4q9oUmW1yo/edit?usp=sharing"",""ตาก!J149"")"),14)</f>
        <v>14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IFERROR(__xludf.DUMMYFUNCTION("IMPORTRANGE(""https://docs.google.com/spreadsheets/d/11923uPwbBZFjjGgGUA6NLw09EwE0CqkOc4q9oUmW1yo/edit?usp=sharing"",""ตาก!J151"")"),0)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IFERROR(__xludf.DUMMYFUNCTION("IMPORTRANGE(""https://docs.google.com/spreadsheets/d/11923uPwbBZFjjGgGUA6NLw09EwE0CqkOc4q9oUmW1yo/edit?usp=sharing"",""ตาก!J152"")"),1)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IFERROR(__xludf.DUMMYFUNCTION("IMPORTRANGE(""https://docs.google.com/spreadsheets/d/11923uPwbBZFjjGgGUA6NLw09EwE0CqkOc4q9oUmW1yo/edit?usp=sharing"",""ตาก!J153"")"),1)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IFERROR(__xludf.DUMMYFUNCTION("IMPORTRANGE(""https://docs.google.com/spreadsheets/d/11923uPwbBZFjjGgGUA6NLw09EwE0CqkOc4q9oUmW1yo/edit?usp=sharing"",""ตาก!J154"")"),1)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IFERROR(__xludf.DUMMYFUNCTION("IMPORTRANGE(""https://docs.google.com/spreadsheets/d/11923uPwbBZFjjGgGUA6NLw09EwE0CqkOc4q9oUmW1yo/edit?usp=sharing"",""ตาก!I155"")"),14)</f>
        <v>14</v>
      </c>
      <c r="J235" s="188">
        <f ca="1">IFERROR(__xludf.DUMMYFUNCTION("IMPORTRANGE(""https://docs.google.com/spreadsheets/d/11923uPwbBZFjjGgGUA6NLw09EwE0CqkOc4q9oUmW1yo/edit?usp=sharing"",""ตาก!J155"")"),14)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IFERROR(__xludf.DUMMYFUNCTION("IMPORTRANGE(""https://docs.google.com/spreadsheets/d/11923uPwbBZFjjGgGUA6NLw09EwE0CqkOc4q9oUmW1yo/edit?usp=sharing"",""ตาก!J156"")"),0)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IFERROR(__xludf.DUMMYFUNCTION("IMPORTRANGE(""https://docs.google.com/spreadsheets/d/11923uPwbBZFjjGgGUA6NLw09EwE0CqkOc4q9oUmW1yo/edit?usp=sharing"",""ตาก!J157"")"),0)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IFERROR(__xludf.DUMMYFUNCTION("IMPORTRANGE(""https://docs.google.com/spreadsheets/d/11923uPwbBZFjjGgGUA6NLw09EwE0CqkOc4q9oUmW1yo/edit?usp=sharing"",""ตาก!I158"")"),0)</f>
        <v>0</v>
      </c>
      <c r="J238" s="266">
        <f ca="1">IFERROR(__xludf.DUMMYFUNCTION("IMPORTRANGE(""https://docs.google.com/spreadsheets/d/11923uPwbBZFjjGgGUA6NLw09EwE0CqkOc4q9oUmW1yo/edit?usp=sharing"",""ตาก!J158"")"),0)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IFERROR(__xludf.DUMMYFUNCTION("IMPORTRANGE(""https://docs.google.com/spreadsheets/d/11923uPwbBZFjjGgGUA6NLw09EwE0CqkOc4q9oUmW1yo/edit?usp=sharing"",""ตาก!J159"")"),"")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IFERROR(__xludf.DUMMYFUNCTION("IMPORTRANGE(""https://docs.google.com/spreadsheets/d/11923uPwbBZFjjGgGUA6NLw09EwE0CqkOc4q9oUmW1yo/edit?usp=sharing"",""ตาก!J161"")"),0)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IFERROR(__xludf.DUMMYFUNCTION("IMPORTRANGE(""https://docs.google.com/spreadsheets/d/11923uPwbBZFjjGgGUA6NLw09EwE0CqkOc4q9oUmW1yo/edit?usp=sharing"",""ตาก!J162"")"),0)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IFERROR(__xludf.DUMMYFUNCTION("IMPORTRANGE(""https://docs.google.com/spreadsheets/d/11923uPwbBZFjjGgGUA6NLw09EwE0CqkOc4q9oUmW1yo/edit?usp=sharing"",""ตาก!J163"")"),0)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IFERROR(__xludf.DUMMYFUNCTION("IMPORTRANGE(""https://docs.google.com/spreadsheets/d/11923uPwbBZFjjGgGUA6NLw09EwE0CqkOc4q9oUmW1yo/edit?usp=sharing"",""ตาก!I164"")"),0)</f>
        <v>0</v>
      </c>
      <c r="J244" s="187">
        <f ca="1">IFERROR(__xludf.DUMMYFUNCTION("IMPORTRANGE(""https://docs.google.com/spreadsheets/d/11923uPwbBZFjjGgGUA6NLw09EwE0CqkOc4q9oUmW1yo/edit?usp=sharing"",""ตาก!J164"")"),0)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IFERROR(__xludf.DUMMYFUNCTION("IMPORTRANGE(""https://docs.google.com/spreadsheets/d/11923uPwbBZFjjGgGUA6NLw09EwE0CqkOc4q9oUmW1yo/edit?usp=sharing"",""ตาก!J165"")"),0)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IFERROR(__xludf.DUMMYFUNCTION("IMPORTRANGE(""https://docs.google.com/spreadsheets/d/11923uPwbBZFjjGgGUA6NLw09EwE0CqkOc4q9oUmW1yo/edit?usp=sharing"",""ตาก!J166"")"),0)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IFERROR(__xludf.DUMMYFUNCTION("IMPORTRANGE(""https://docs.google.com/spreadsheets/d/11923uPwbBZFjjGgGUA6NLw09EwE0CqkOc4q9oUmW1yo/edit?usp=sharing"",""ตาก!I169"")"),0)</f>
        <v>0</v>
      </c>
      <c r="J249" s="314">
        <f ca="1">IFERROR(__xludf.DUMMYFUNCTION("IMPORTRANGE(""https://docs.google.com/spreadsheets/d/11923uPwbBZFjjGgGUA6NLw09EwE0CqkOc4q9oUmW1yo/edit?usp=sharing"",""ตาก!J169"")"),0)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IFERROR(__xludf.DUMMYFUNCTION("IMPORTRANGE(""https://docs.google.com/spreadsheets/d/1Yj_ptqi66GCucihVvJfMjLAmec39IyEx_6qawtMGysU/edit?usp=sharing"",""สบก!CB23"")"),0)</f>
        <v>0</v>
      </c>
      <c r="N254" s="168">
        <f ca="1">IFERROR(__xludf.DUMMYFUNCTION("IMPORTRANGE(""https://docs.google.com/spreadsheets/d/1Yj_ptqi66GCucihVvJfMjLAmec39IyEx_6qawtMGysU/edit?usp=sharing"",""สบก!CC23"")"),0)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IFERROR(__xludf.DUMMYFUNCTION("IMPORTRANGE(""https://docs.google.com/spreadsheets/d/1Yj_ptqi66GCucihVvJfMjLAmec39IyEx_6qawtMGysU/edit?usp=sharing"",""สบก!BX23"")"),0)</f>
        <v>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IFERROR(__xludf.DUMMYFUNCTION("IMPORTRANGE(""https://docs.google.com/spreadsheets/d/1Yj_ptqi66GCucihVvJfMjLAmec39IyEx_6qawtMGysU/edit?usp=sharing"",""สบก!BY23"")"),0)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IFERROR(__xludf.DUMMYFUNCTION("IMPORTRANGE(""https://docs.google.com/spreadsheets/d/1Yj_ptqi66GCucihVvJfMjLAmec39IyEx_6qawtMGysU/edit?usp=sharing"",""สบก!BZ23"")"),0)</f>
        <v>0</v>
      </c>
      <c r="M258" s="49"/>
      <c r="N258" s="49">
        <f ca="1">IFERROR(__xludf.DUMMYFUNCTION("IMPORTRANGE(""https://docs.google.com/spreadsheets/d/1Yj_ptqi66GCucihVvJfMjLAmec39IyEx_6qawtMGysU/edit?usp=sharing"",""สบก!CD23"")"),0)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IFERROR(__xludf.DUMMYFUNCTION("IMPORTRANGE(""https://docs.google.com/spreadsheets/d/11923uPwbBZFjjGgGUA6NLw09EwE0CqkOc4q9oUmW1yo/edit?usp=sharing"",""ตาก!J175"")"),0)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IFERROR(__xludf.DUMMYFUNCTION("IMPORTRANGE(""https://docs.google.com/spreadsheets/d/11923uPwbBZFjjGgGUA6NLw09EwE0CqkOc4q9oUmW1yo/edit?usp=sharing"",""ตาก!J176"")"),0)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IFERROR(__xludf.DUMMYFUNCTION("IMPORTRANGE(""https://docs.google.com/spreadsheets/d/11923uPwbBZFjjGgGUA6NLw09EwE0CqkOc4q9oUmW1yo/edit?usp=sharing"",""ตาก!J177"")"),0)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IFERROR(__xludf.DUMMYFUNCTION("IMPORTRANGE(""https://docs.google.com/spreadsheets/d/11923uPwbBZFjjGgGUA6NLw09EwE0CqkOc4q9oUmW1yo/edit?usp=sharing"",""ตาก!J178"")"),0)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IFERROR(__xludf.DUMMYFUNCTION("IMPORTRANGE(""https://docs.google.com/spreadsheets/d/11923uPwbBZFjjGgGUA6NLw09EwE0CqkOc4q9oUmW1yo/edit?usp=sharing"",""ตาก!I179"")"),0)</f>
        <v>0</v>
      </c>
      <c r="J264" s="188">
        <f ca="1">IFERROR(__xludf.DUMMYFUNCTION("IMPORTRANGE(""https://docs.google.com/spreadsheets/d/11923uPwbBZFjjGgGUA6NLw09EwE0CqkOc4q9oUmW1yo/edit?usp=sharing"",""ตาก!J179"")"),0)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IFERROR(__xludf.DUMMYFUNCTION("IMPORTRANGE(""https://docs.google.com/spreadsheets/d/11923uPwbBZFjjGgGUA6NLw09EwE0CqkOc4q9oUmW1yo/edit?usp=sharing"",""ตาก!I180"")"),0)</f>
        <v>0</v>
      </c>
      <c r="J265" s="188">
        <f ca="1">IFERROR(__xludf.DUMMYFUNCTION("IMPORTRANGE(""https://docs.google.com/spreadsheets/d/11923uPwbBZFjjGgGUA6NLw09EwE0CqkOc4q9oUmW1yo/edit?usp=sharing"",""ตาก!J180"")"),0)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IFERROR(__xludf.DUMMYFUNCTION("IMPORTRANGE(""https://docs.google.com/spreadsheets/d/11923uPwbBZFjjGgGUA6NLw09EwE0CqkOc4q9oUmW1yo/edit?usp=sharing"",""ตาก!I181"")"),0)</f>
        <v>0</v>
      </c>
      <c r="J266" s="188">
        <f ca="1">IFERROR(__xludf.DUMMYFUNCTION("IMPORTRANGE(""https://docs.google.com/spreadsheets/d/11923uPwbBZFjjGgGUA6NLw09EwE0CqkOc4q9oUmW1yo/edit?usp=sharing"",""ตาก!J181"")"),0)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IFERROR(__xludf.DUMMYFUNCTION("IMPORTRANGE(""https://docs.google.com/spreadsheets/d/11923uPwbBZFjjGgGUA6NLw09EwE0CqkOc4q9oUmW1yo/edit?usp=sharing"",""ตาก!I182"")"),0)</f>
        <v>0</v>
      </c>
      <c r="J267" s="188">
        <f ca="1">IFERROR(__xludf.DUMMYFUNCTION("IMPORTRANGE(""https://docs.google.com/spreadsheets/d/11923uPwbBZFjjGgGUA6NLw09EwE0CqkOc4q9oUmW1yo/edit?usp=sharing"",""ตาก!J182"")"),0)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IFERROR(__xludf.DUMMYFUNCTION("IMPORTRANGE(""https://docs.google.com/spreadsheets/d/11923uPwbBZFjjGgGUA6NLw09EwE0CqkOc4q9oUmW1yo/edit?usp=sharing"",""ตาก!J183"")"),0)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IFERROR(__xludf.DUMMYFUNCTION("IMPORTRANGE(""https://docs.google.com/spreadsheets/d/11923uPwbBZFjjGgGUA6NLw09EwE0CqkOc4q9oUmW1yo/edit?usp=sharing"",""ตาก!J184"")"),0)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IFERROR(__xludf.DUMMYFUNCTION("IMPORTRANGE(""https://docs.google.com/spreadsheets/d/11923uPwbBZFjjGgGUA6NLw09EwE0CqkOc4q9oUmW1yo/edit?usp=sharing"",""ตาก!I185"")"),20)</f>
        <v>20</v>
      </c>
      <c r="J270" s="314">
        <f ca="1">IFERROR(__xludf.DUMMYFUNCTION("IMPORTRANGE(""https://docs.google.com/spreadsheets/d/11923uPwbBZFjjGgGUA6NLw09EwE0CqkOc4q9oUmW1yo/edit?usp=sharing"",""ตาก!J185"")"),20)</f>
        <v>20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337600</v>
      </c>
      <c r="M271" s="151">
        <f t="shared" ca="1" si="83"/>
        <v>170000</v>
      </c>
      <c r="N271" s="151">
        <f t="shared" ca="1" si="83"/>
        <v>139680</v>
      </c>
      <c r="O271" s="150">
        <f t="shared" ref="O271:O273" ca="1" si="84">IF(L271&gt;0,N271*100/L271,0)</f>
        <v>41.374407582938389</v>
      </c>
      <c r="P271" s="150">
        <f t="shared" ref="P271:P273" ca="1" si="85">IF(M271&gt;0,N271*100/M271,0)</f>
        <v>82.164705882352948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337600</v>
      </c>
      <c r="M273" s="87">
        <f t="shared" ca="1" si="87"/>
        <v>170000</v>
      </c>
      <c r="N273" s="87">
        <f t="shared" ca="1" si="87"/>
        <v>139680</v>
      </c>
      <c r="O273" s="155">
        <f t="shared" ca="1" si="84"/>
        <v>41.374407582938389</v>
      </c>
      <c r="P273" s="155">
        <f t="shared" ca="1" si="85"/>
        <v>82.164705882352948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337600</v>
      </c>
      <c r="M275" s="167">
        <f ca="1">IFERROR(__xludf.DUMMYFUNCTION("IMPORTRANGE(""https://docs.google.com/spreadsheets/d/1Yj_ptqi66GCucihVvJfMjLAmec39IyEx_6qawtMGysU/edit?usp=sharing"",""สบก!CK23"")"),170000)</f>
        <v>170000</v>
      </c>
      <c r="N275" s="168">
        <f ca="1">IFERROR(__xludf.DUMMYFUNCTION("IMPORTRANGE(""https://docs.google.com/spreadsheets/d/1Yj_ptqi66GCucihVvJfMjLAmec39IyEx_6qawtMGysU/edit?usp=sharing"",""สบก!CL23"")"),139680)</f>
        <v>139680</v>
      </c>
      <c r="O275" s="168">
        <f ca="1">IF(L275&gt;0,N275*100/L275,0)</f>
        <v>41.374407582938389</v>
      </c>
      <c r="P275" s="168">
        <f ca="1">IF(M275&gt;0,N275*100/M275,0)</f>
        <v>82.164705882352948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IFERROR(__xludf.DUMMYFUNCTION("IMPORTRANGE(""https://docs.google.com/spreadsheets/d/1Yj_ptqi66GCucihVvJfMjLAmec39IyEx_6qawtMGysU/edit?usp=sharing"",""สบก!CG23"")"),264000)</f>
        <v>264000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IFERROR(__xludf.DUMMYFUNCTION("IMPORTRANGE(""https://docs.google.com/spreadsheets/d/1Yj_ptqi66GCucihVvJfMjLAmec39IyEx_6qawtMGysU/edit?usp=sharing"",""สบก!CH23"")"),73600)</f>
        <v>73600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IFERROR(__xludf.DUMMYFUNCTION("IMPORTRANGE(""https://docs.google.com/spreadsheets/d/1Yj_ptqi66GCucihVvJfMjLAmec39IyEx_6qawtMGysU/edit?usp=sharing"",""สบก!CI23"")"),0)</f>
        <v>0</v>
      </c>
      <c r="M279" s="49"/>
      <c r="N279" s="49">
        <f ca="1">IFERROR(__xludf.DUMMYFUNCTION("IMPORTRANGE(""https://docs.google.com/spreadsheets/d/1Yj_ptqi66GCucihVvJfMjLAmec39IyEx_6qawtMGysU/edit?usp=sharing"",""สบก!CM23"")"),0)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IFERROR(__xludf.DUMMYFUNCTION("IMPORTRANGE(""https://docs.google.com/spreadsheets/d/11923uPwbBZFjjGgGUA6NLw09EwE0CqkOc4q9oUmW1yo/edit?usp=sharing"",""ตาก!J191"")"),0)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IFERROR(__xludf.DUMMYFUNCTION("IMPORTRANGE(""https://docs.google.com/spreadsheets/d/11923uPwbBZFjjGgGUA6NLw09EwE0CqkOc4q9oUmW1yo/edit?usp=sharing"",""ตาก!J192"")"),1)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IFERROR(__xludf.DUMMYFUNCTION("IMPORTRANGE(""https://docs.google.com/spreadsheets/d/11923uPwbBZFjjGgGUA6NLw09EwE0CqkOc4q9oUmW1yo/edit?usp=sharing"",""ตาก!J193"")"),1)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IFERROR(__xludf.DUMMYFUNCTION("IMPORTRANGE(""https://docs.google.com/spreadsheets/d/11923uPwbBZFjjGgGUA6NLw09EwE0CqkOc4q9oUmW1yo/edit?usp=sharing"",""ตาก!J194"")"),1)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IFERROR(__xludf.DUMMYFUNCTION("IMPORTRANGE(""https://docs.google.com/spreadsheets/d/11923uPwbBZFjjGgGUA6NLw09EwE0CqkOc4q9oUmW1yo/edit?usp=sharing"",""ตาก!I195"")"),20)</f>
        <v>20</v>
      </c>
      <c r="J285" s="188">
        <f ca="1">IFERROR(__xludf.DUMMYFUNCTION("IMPORTRANGE(""https://docs.google.com/spreadsheets/d/11923uPwbBZFjjGgGUA6NLw09EwE0CqkOc4q9oUmW1yo/edit?usp=sharing"",""ตาก!J195"")"),20)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IFERROR(__xludf.DUMMYFUNCTION("IMPORTRANGE(""https://docs.google.com/spreadsheets/d/11923uPwbBZFjjGgGUA6NLw09EwE0CqkOc4q9oUmW1yo/edit?usp=sharing"",""ตาก!J196"")"),0)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IFERROR(__xludf.DUMMYFUNCTION("IMPORTRANGE(""https://docs.google.com/spreadsheets/d/11923uPwbBZFjjGgGUA6NLw09EwE0CqkOc4q9oUmW1yo/edit?usp=sharing"",""ตาก!J197"")"),0)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IFERROR(__xludf.DUMMYFUNCTION("IMPORTRANGE(""https://docs.google.com/spreadsheets/d/11923uPwbBZFjjGgGUA6NLw09EwE0CqkOc4q9oUmW1yo/edit?usp=sharing"",""ตาก!I199"")"),0)</f>
        <v>0</v>
      </c>
      <c r="J289" s="314">
        <f ca="1">IFERROR(__xludf.DUMMYFUNCTION("IMPORTRANGE(""https://docs.google.com/spreadsheets/d/11923uPwbBZFjjGgGUA6NLw09EwE0CqkOc4q9oUmW1yo/edit?usp=sharing"",""ตาก!J199"")"),0)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IFERROR(__xludf.DUMMYFUNCTION("IMPORTRANGE(""https://docs.google.com/spreadsheets/d/1Yj_ptqi66GCucihVvJfMjLAmec39IyEx_6qawtMGysU/edit?usp=sharing"",""สบก!CT23"")"),0)</f>
        <v>0</v>
      </c>
      <c r="N294" s="168">
        <f ca="1">IFERROR(__xludf.DUMMYFUNCTION("IMPORTRANGE(""https://docs.google.com/spreadsheets/d/1Yj_ptqi66GCucihVvJfMjLAmec39IyEx_6qawtMGysU/edit?usp=sharing"",""สบก!CU23"")"),0)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IFERROR(__xludf.DUMMYFUNCTION("IMPORTRANGE(""https://docs.google.com/spreadsheets/d/1Yj_ptqi66GCucihVvJfMjLAmec39IyEx_6qawtMGysU/edit?usp=sharing"",""สบก!CP23"")"),0)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IFERROR(__xludf.DUMMYFUNCTION("IMPORTRANGE(""https://docs.google.com/spreadsheets/d/1Yj_ptqi66GCucihVvJfMjLAmec39IyEx_6qawtMGysU/edit?usp=sharing"",""สบก!CQ23"")"),0)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IFERROR(__xludf.DUMMYFUNCTION("IMPORTRANGE(""https://docs.google.com/spreadsheets/d/1Yj_ptqi66GCucihVvJfMjLAmec39IyEx_6qawtMGysU/edit?usp=sharing"",""สบก!CR23"")"),0)</f>
        <v>0</v>
      </c>
      <c r="M298" s="49"/>
      <c r="N298" s="49">
        <f ca="1">IFERROR(__xludf.DUMMYFUNCTION("IMPORTRANGE(""https://docs.google.com/spreadsheets/d/1Yj_ptqi66GCucihVvJfMjLAmec39IyEx_6qawtMGysU/edit?usp=sharing"",""สบก!CV23"")"),0)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IFERROR(__xludf.DUMMYFUNCTION("IMPORTRANGE(""https://docs.google.com/spreadsheets/d/11923uPwbBZFjjGgGUA6NLw09EwE0CqkOc4q9oUmW1yo/edit?usp=sharing"",""ตาก!J205"")"),0)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IFERROR(__xludf.DUMMYFUNCTION("IMPORTRANGE(""https://docs.google.com/spreadsheets/d/11923uPwbBZFjjGgGUA6NLw09EwE0CqkOc4q9oUmW1yo/edit?usp=sharing"",""ตาก!J206"")"),0)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IFERROR(__xludf.DUMMYFUNCTION("IMPORTRANGE(""https://docs.google.com/spreadsheets/d/11923uPwbBZFjjGgGUA6NLw09EwE0CqkOc4q9oUmW1yo/edit?usp=sharing"",""ตาก!J207"")"),0)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IFERROR(__xludf.DUMMYFUNCTION("IMPORTRANGE(""https://docs.google.com/spreadsheets/d/11923uPwbBZFjjGgGUA6NLw09EwE0CqkOc4q9oUmW1yo/edit?usp=sharing"",""ตาก!J208"")"),0)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IFERROR(__xludf.DUMMYFUNCTION("IMPORTRANGE(""https://docs.google.com/spreadsheets/d/11923uPwbBZFjjGgGUA6NLw09EwE0CqkOc4q9oUmW1yo/edit?usp=sharing"",""ตาก!I209"")"),0)</f>
        <v>0</v>
      </c>
      <c r="J304" s="203">
        <f ca="1">IFERROR(__xludf.DUMMYFUNCTION("IMPORTRANGE(""https://docs.google.com/spreadsheets/d/11923uPwbBZFjjGgGUA6NLw09EwE0CqkOc4q9oUmW1yo/edit?usp=sharing"",""ตาก!J209"")"),0)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IFERROR(__xludf.DUMMYFUNCTION("IMPORTRANGE(""https://docs.google.com/spreadsheets/d/11923uPwbBZFjjGgGUA6NLw09EwE0CqkOc4q9oUmW1yo/edit?usp=sharing"",""ตาก!I211"")"),0)</f>
        <v>0</v>
      </c>
      <c r="J306" s="203">
        <f ca="1">IFERROR(__xludf.DUMMYFUNCTION("IMPORTRANGE(""https://docs.google.com/spreadsheets/d/11923uPwbBZFjjGgGUA6NLw09EwE0CqkOc4q9oUmW1yo/edit?usp=sharing"",""ตาก!J211"")"),0)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IFERROR(__xludf.DUMMYFUNCTION("IMPORTRANGE(""https://docs.google.com/spreadsheets/d/11923uPwbBZFjjGgGUA6NLw09EwE0CqkOc4q9oUmW1yo/edit?usp=sharing"",""ตาก!J212"")"),0)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IFERROR(__xludf.DUMMYFUNCTION("IMPORTRANGE(""https://docs.google.com/spreadsheets/d/11923uPwbBZFjjGgGUA6NLw09EwE0CqkOc4q9oUmW1yo/edit?usp=sharing"",""ตาก!J213"")"),0)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IFERROR(__xludf.DUMMYFUNCTION("IMPORTRANGE(""https://docs.google.com/spreadsheets/d/11923uPwbBZFjjGgGUA6NLw09EwE0CqkOc4q9oUmW1yo/edit?usp=sharing"",""ตาก!I214"")"),0)</f>
        <v>0</v>
      </c>
      <c r="J309" s="331">
        <f ca="1">IFERROR(__xludf.DUMMYFUNCTION("IMPORTRANGE(""https://docs.google.com/spreadsheets/d/11923uPwbBZFjjGgGUA6NLw09EwE0CqkOc4q9oUmW1yo/edit?usp=sharing"",""ตาก!J214"")"),0)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IFERROR(__xludf.DUMMYFUNCTION("IMPORTRANGE(""https://docs.google.com/spreadsheets/d/1Yj_ptqi66GCucihVvJfMjLAmec39IyEx_6qawtMGysU/edit?usp=sharing"",""สบก!DC23"")"),0)</f>
        <v>0</v>
      </c>
      <c r="N314" s="168">
        <f ca="1">IFERROR(__xludf.DUMMYFUNCTION("IMPORTRANGE(""https://docs.google.com/spreadsheets/d/1Yj_ptqi66GCucihVvJfMjLAmec39IyEx_6qawtMGysU/edit?usp=sharing"",""สบก!DD23"")"),0)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IFERROR(__xludf.DUMMYFUNCTION("IMPORTRANGE(""https://docs.google.com/spreadsheets/d/1Yj_ptqi66GCucihVvJfMjLAmec39IyEx_6qawtMGysU/edit?usp=sharing"",""สบก!CY23"")"),0)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IFERROR(__xludf.DUMMYFUNCTION("IMPORTRANGE(""https://docs.google.com/spreadsheets/d/1Yj_ptqi66GCucihVvJfMjLAmec39IyEx_6qawtMGysU/edit?usp=sharing"",""สบก!CZ23"")"),0)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IFERROR(__xludf.DUMMYFUNCTION("IMPORTRANGE(""https://docs.google.com/spreadsheets/d/1Yj_ptqi66GCucihVvJfMjLAmec39IyEx_6qawtMGysU/edit?usp=sharing"",""สบก!DA23"")"),0)</f>
        <v>0</v>
      </c>
      <c r="M318" s="49"/>
      <c r="N318" s="49">
        <f ca="1">IFERROR(__xludf.DUMMYFUNCTION("IMPORTRANGE(""https://docs.google.com/spreadsheets/d/1Yj_ptqi66GCucihVvJfMjLAmec39IyEx_6qawtMGysU/edit?usp=sharing"",""สบก!DE23"")"),0)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IFERROR(__xludf.DUMMYFUNCTION("IMPORTRANGE(""https://docs.google.com/spreadsheets/d/11923uPwbBZFjjGgGUA6NLw09EwE0CqkOc4q9oUmW1yo/edit?usp=sharing"",""ตาก!J220"")"),0)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IFERROR(__xludf.DUMMYFUNCTION("IMPORTRANGE(""https://docs.google.com/spreadsheets/d/11923uPwbBZFjjGgGUA6NLw09EwE0CqkOc4q9oUmW1yo/edit?usp=sharing"",""ตาก!J221"")"),0)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IFERROR(__xludf.DUMMYFUNCTION("IMPORTRANGE(""https://docs.google.com/spreadsheets/d/11923uPwbBZFjjGgGUA6NLw09EwE0CqkOc4q9oUmW1yo/edit?usp=sharing"",""ตาก!J222"")"),0)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IFERROR(__xludf.DUMMYFUNCTION("IMPORTRANGE(""https://docs.google.com/spreadsheets/d/11923uPwbBZFjjGgGUA6NLw09EwE0CqkOc4q9oUmW1yo/edit?usp=sharing"",""ตาก!J223"")"),0)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IFERROR(__xludf.DUMMYFUNCTION("IMPORTRANGE(""https://docs.google.com/spreadsheets/d/11923uPwbBZFjjGgGUA6NLw09EwE0CqkOc4q9oUmW1yo/edit?usp=sharing"",""ตาก!I224"")"),0)</f>
        <v>0</v>
      </c>
      <c r="J324" s="203">
        <f ca="1">IFERROR(__xludf.DUMMYFUNCTION("IMPORTRANGE(""https://docs.google.com/spreadsheets/d/11923uPwbBZFjjGgGUA6NLw09EwE0CqkOc4q9oUmW1yo/edit?usp=sharing"",""ตาก!J224"")"),0)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IFERROR(__xludf.DUMMYFUNCTION("IMPORTRANGE(""https://docs.google.com/spreadsheets/d/11923uPwbBZFjjGgGUA6NLw09EwE0CqkOc4q9oUmW1yo/edit?usp=sharing"",""ตาก!J225"")"),0)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IFERROR(__xludf.DUMMYFUNCTION("IMPORTRANGE(""https://docs.google.com/spreadsheets/d/11923uPwbBZFjjGgGUA6NLw09EwE0CqkOc4q9oUmW1yo/edit?usp=sharing"",""ตาก!J226"")"),0)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IFERROR(__xludf.DUMMYFUNCTION("IMPORTRANGE(""https://docs.google.com/spreadsheets/d/11923uPwbBZFjjGgGUA6NLw09EwE0CqkOc4q9oUmW1yo/edit?usp=sharing"",""ตาก!I228"")"),215)</f>
        <v>215</v>
      </c>
      <c r="J328" s="337">
        <f ca="1">IFERROR(__xludf.DUMMYFUNCTION("IMPORTRANGE(""https://docs.google.com/spreadsheets/d/11923uPwbBZFjjGgGUA6NLw09EwE0CqkOc4q9oUmW1yo/edit?usp=sharing"",""ตาก!J228"")"),59)</f>
        <v>59</v>
      </c>
      <c r="K328" s="315">
        <f ca="1">IF(I328&gt;0,J328*100/I328,0)</f>
        <v>27.441860465116278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1077870</v>
      </c>
      <c r="M329" s="151">
        <f t="shared" ca="1" si="98"/>
        <v>654350</v>
      </c>
      <c r="N329" s="151">
        <f t="shared" ca="1" si="98"/>
        <v>615485</v>
      </c>
      <c r="O329" s="150">
        <f t="shared" ref="O329:O331" ca="1" si="99">IF(L329&gt;0,N329*100/L329,0)</f>
        <v>57.101969625279487</v>
      </c>
      <c r="P329" s="150">
        <f t="shared" ref="P329:P331" ca="1" si="100">IF(M329&gt;0,N329*100/M329,0)</f>
        <v>94.060518071368534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1077870</v>
      </c>
      <c r="M331" s="87">
        <f t="shared" ca="1" si="102"/>
        <v>654350</v>
      </c>
      <c r="N331" s="87">
        <f t="shared" ca="1" si="102"/>
        <v>615485</v>
      </c>
      <c r="O331" s="155">
        <f t="shared" ca="1" si="99"/>
        <v>57.101969625279487</v>
      </c>
      <c r="P331" s="155">
        <f t="shared" ca="1" si="100"/>
        <v>94.060518071368534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939650</v>
      </c>
      <c r="M333" s="167">
        <f ca="1">IFERROR(__xludf.DUMMYFUNCTION("IMPORTRANGE(""https://docs.google.com/spreadsheets/d/1Yj_ptqi66GCucihVvJfMjLAmec39IyEx_6qawtMGysU/edit?usp=sharing"",""สบก!DL23"")"),516130)</f>
        <v>516130</v>
      </c>
      <c r="N333" s="168">
        <f ca="1">IFERROR(__xludf.DUMMYFUNCTION("IMPORTRANGE(""https://docs.google.com/spreadsheets/d/1Yj_ptqi66GCucihVvJfMjLAmec39IyEx_6qawtMGysU/edit?usp=sharing"",""สบก!DM23"")"),477265)</f>
        <v>477265</v>
      </c>
      <c r="O333" s="168">
        <f ca="1">IF(L333&gt;0,N333*100/L333,0)</f>
        <v>50.791784174958764</v>
      </c>
      <c r="P333" s="168">
        <f ca="1">IF(M333&gt;0,N333*100/M333,0)</f>
        <v>92.469920368899309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IFERROR(__xludf.DUMMYFUNCTION("IMPORTRANGE(""https://docs.google.com/spreadsheets/d/1Yj_ptqi66GCucihVvJfMjLAmec39IyEx_6qawtMGysU/edit?usp=sharing"",""สบก!DH23"")"),496800)</f>
        <v>496800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IFERROR(__xludf.DUMMYFUNCTION("IMPORTRANGE(""https://docs.google.com/spreadsheets/d/1Yj_ptqi66GCucihVvJfMjLAmec39IyEx_6qawtMGysU/edit?usp=sharing"",""สบก!DI23"")"),442850)</f>
        <v>442850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IFERROR(__xludf.DUMMYFUNCTION("IMPORTRANGE(""https://docs.google.com/spreadsheets/d/1Yj_ptqi66GCucihVvJfMjLAmec39IyEx_6qawtMGysU/edit?usp=sharing"",""สบก!DJ23"")"),138220)</f>
        <v>138220</v>
      </c>
      <c r="M337" s="49">
        <f ca="1">L337</f>
        <v>138220</v>
      </c>
      <c r="N337" s="49">
        <f ca="1">IFERROR(__xludf.DUMMYFUNCTION("IMPORTRANGE(""https://docs.google.com/spreadsheets/d/1Yj_ptqi66GCucihVvJfMjLAmec39IyEx_6qawtMGysU/edit?usp=sharing"",""สบก!DN23"")"),138220)</f>
        <v>138220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IFERROR(__xludf.DUMMYFUNCTION("IMPORTRANGE(""https://docs.google.com/spreadsheets/d/11923uPwbBZFjjGgGUA6NLw09EwE0CqkOc4q9oUmW1yo/edit?usp=sharing"",""ตาก!I234"")"),0)</f>
        <v>0</v>
      </c>
      <c r="J339" s="187">
        <f ca="1">IFERROR(__xludf.DUMMYFUNCTION("IMPORTRANGE(""https://docs.google.com/spreadsheets/d/11923uPwbBZFjjGgGUA6NLw09EwE0CqkOc4q9oUmW1yo/edit?usp=sharing"",""ตาก!J234"")"),119)</f>
        <v>119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IFERROR(__xludf.DUMMYFUNCTION("IMPORTRANGE(""https://docs.google.com/spreadsheets/d/11923uPwbBZFjjGgGUA6NLw09EwE0CqkOc4q9oUmW1yo/edit?usp=sharing"",""ตาก!I235"")"),3000)</f>
        <v>3000</v>
      </c>
      <c r="J340" s="187">
        <f ca="1">IFERROR(__xludf.DUMMYFUNCTION("IMPORTRANGE(""https://docs.google.com/spreadsheets/d/11923uPwbBZFjjGgGUA6NLw09EwE0CqkOc4q9oUmW1yo/edit?usp=sharing"",""ตาก!J235"")"),887.1)</f>
        <v>887.1</v>
      </c>
      <c r="K340" s="340">
        <f t="shared" ca="1" si="103"/>
        <v>29.57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IFERROR(__xludf.DUMMYFUNCTION("IMPORTRANGE(""https://docs.google.com/spreadsheets/d/11923uPwbBZFjjGgGUA6NLw09EwE0CqkOc4q9oUmW1yo/edit?usp=sharing"",""ตาก!I236"")"),215)</f>
        <v>215</v>
      </c>
      <c r="J341" s="187">
        <f ca="1">IFERROR(__xludf.DUMMYFUNCTION("IMPORTRANGE(""https://docs.google.com/spreadsheets/d/11923uPwbBZFjjGgGUA6NLw09EwE0CqkOc4q9oUmW1yo/edit?usp=sharing"",""ตาก!J236"")"),137)</f>
        <v>137</v>
      </c>
      <c r="K341" s="340">
        <f t="shared" ca="1" si="103"/>
        <v>63.720930232558139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IFERROR(__xludf.DUMMYFUNCTION("IMPORTRANGE(""https://docs.google.com/spreadsheets/d/11923uPwbBZFjjGgGUA6NLw09EwE0CqkOc4q9oUmW1yo/edit?usp=sharing"",""ตาก!I237"")"),0)</f>
        <v>0</v>
      </c>
      <c r="J342" s="187">
        <f ca="1">IFERROR(__xludf.DUMMYFUNCTION("IMPORTRANGE(""https://docs.google.com/spreadsheets/d/11923uPwbBZFjjGgGUA6NLw09EwE0CqkOc4q9oUmW1yo/edit?usp=sharing"",""ตาก!J237"")"),1378.48)</f>
        <v>1378.48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IFERROR(__xludf.DUMMYFUNCTION("IMPORTRANGE(""https://docs.google.com/spreadsheets/d/11923uPwbBZFjjGgGUA6NLw09EwE0CqkOc4q9oUmW1yo/edit?usp=sharing"",""ตาก!I238"")"),215)</f>
        <v>215</v>
      </c>
      <c r="J343" s="187">
        <f ca="1">IFERROR(__xludf.DUMMYFUNCTION("IMPORTRANGE(""https://docs.google.com/spreadsheets/d/11923uPwbBZFjjGgGUA6NLw09EwE0CqkOc4q9oUmW1yo/edit?usp=sharing"",""ตาก!J238"")"),0)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IFERROR(__xludf.DUMMYFUNCTION("IMPORTRANGE(""https://docs.google.com/spreadsheets/d/11923uPwbBZFjjGgGUA6NLw09EwE0CqkOc4q9oUmW1yo/edit?usp=sharing"",""ตาก!I239"")"),0)</f>
        <v>0</v>
      </c>
      <c r="J344" s="187">
        <f ca="1">IFERROR(__xludf.DUMMYFUNCTION("IMPORTRANGE(""https://docs.google.com/spreadsheets/d/11923uPwbBZFjjGgGUA6NLw09EwE0CqkOc4q9oUmW1yo/edit?usp=sharing"",""ตาก!J239"")"),0)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IFERROR(__xludf.DUMMYFUNCTION("IMPORTRANGE(""https://docs.google.com/spreadsheets/d/11923uPwbBZFjjGgGUA6NLw09EwE0CqkOc4q9oUmW1yo/edit?usp=sharing"",""ตาก!I240"")"),215)</f>
        <v>215</v>
      </c>
      <c r="J345" s="187">
        <f ca="1">IFERROR(__xludf.DUMMYFUNCTION("IMPORTRANGE(""https://docs.google.com/spreadsheets/d/11923uPwbBZFjjGgGUA6NLw09EwE0CqkOc4q9oUmW1yo/edit?usp=sharing"",""ตาก!J240"")"),59)</f>
        <v>59</v>
      </c>
      <c r="K345" s="340">
        <f t="shared" ca="1" si="103"/>
        <v>27.441860465116278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IFERROR(__xludf.DUMMYFUNCTION("IMPORTRANGE(""https://docs.google.com/spreadsheets/d/11923uPwbBZFjjGgGUA6NLw09EwE0CqkOc4q9oUmW1yo/edit?usp=sharing"",""ตาก!I241"")"),0)</f>
        <v>0</v>
      </c>
      <c r="J346" s="187">
        <f ca="1">IFERROR(__xludf.DUMMYFUNCTION("IMPORTRANGE(""https://docs.google.com/spreadsheets/d/11923uPwbBZFjjGgGUA6NLw09EwE0CqkOc4q9oUmW1yo/edit?usp=sharing"",""ตาก!J241"")"),541.45)</f>
        <v>541.45000000000005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IFERROR(__xludf.DUMMYFUNCTION("IMPORTRANGE(""https://docs.google.com/spreadsheets/d/11923uPwbBZFjjGgGUA6NLw09EwE0CqkOc4q9oUmW1yo/edit?usp=sharing"",""ตาก!L242"")"),1793228)</f>
        <v>1793228</v>
      </c>
      <c r="M347" s="356"/>
      <c r="N347" s="356">
        <f ca="1">IFERROR(__xludf.DUMMYFUNCTION("IMPORTRANGE(""https://docs.google.com/spreadsheets/d/11923uPwbBZFjjGgGUA6NLw09EwE0CqkOc4q9oUmW1yo/edit?usp=sharing"",""ตาก!M242"")"),736968)</f>
        <v>736968</v>
      </c>
      <c r="O347" s="356">
        <f ca="1">+IF(L347&gt;0,N347*100/L347,0)</f>
        <v>41.097283780980447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IFERROR(__xludf.DUMMYFUNCTION("IMPORTRANGE(""https://docs.google.com/spreadsheets/d/11923uPwbBZFjjGgGUA6NLw09EwE0CqkOc4q9oUmW1yo/edit?usp=sharing"",""ตาก!I244"")"),0)</f>
        <v>0</v>
      </c>
      <c r="J349" s="369">
        <f ca="1">IFERROR(__xludf.DUMMYFUNCTION("IMPORTRANGE(""https://docs.google.com/spreadsheets/d/11923uPwbBZFjjGgGUA6NLw09EwE0CqkOc4q9oUmW1yo/edit?usp=sharing"",""ตาก!J244"")"),0)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IFERROR(__xludf.DUMMYFUNCTION("IMPORTRANGE(""https://docs.google.com/spreadsheets/d/11923uPwbBZFjjGgGUA6NLw09EwE0CqkOc4q9oUmW1yo/edit?usp=sharing"",""ตาก!L244"")"),0)</f>
        <v>0</v>
      </c>
      <c r="M349" s="371"/>
      <c r="N349" s="371">
        <f ca="1">IFERROR(__xludf.DUMMYFUNCTION("IMPORTRANGE(""https://docs.google.com/spreadsheets/d/11923uPwbBZFjjGgGUA6NLw09EwE0CqkOc4q9oUmW1yo/edit?usp=sharing"",""ตาก!M244"")"),0)</f>
        <v>0</v>
      </c>
      <c r="O349" s="371">
        <f ca="1">+IF(L349&gt;0,N349*100/L349,0)</f>
        <v>0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IFERROR(__xludf.DUMMYFUNCTION("IMPORTRANGE(""https://docs.google.com/spreadsheets/d/11923uPwbBZFjjGgGUA6NLw09EwE0CqkOc4q9oUmW1yo/edit?usp=sharing"",""ตาก!I245"")"),0)</f>
        <v>0</v>
      </c>
      <c r="J350" s="369">
        <f ca="1">IFERROR(__xludf.DUMMYFUNCTION("IMPORTRANGE(""https://docs.google.com/spreadsheets/d/11923uPwbBZFjjGgGUA6NLw09EwE0CqkOc4q9oUmW1yo/edit?usp=sharing"",""ตาก!J245"")"),0)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IFERROR(__xludf.DUMMYFUNCTION("IMPORTRANGE(""https://docs.google.com/spreadsheets/d/11923uPwbBZFjjGgGUA6NLw09EwE0CqkOc4q9oUmW1yo/edit?usp=sharing"",""ตาก!L246"")"),0)</f>
        <v>0</v>
      </c>
      <c r="M351" s="164"/>
      <c r="N351" s="164">
        <f ca="1">IFERROR(__xludf.DUMMYFUNCTION("IMPORTRANGE(""https://docs.google.com/spreadsheets/d/11923uPwbBZFjjGgGUA6NLw09EwE0CqkOc4q9oUmW1yo/edit?usp=sharing"",""ตาก!M246"")"),0)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IFERROR(__xludf.DUMMYFUNCTION("IMPORTRANGE(""https://docs.google.com/spreadsheets/d/11923uPwbBZFjjGgGUA6NLw09EwE0CqkOc4q9oUmW1yo/edit?usp=sharing"",""ตาก!L247"")"),0)</f>
        <v>0</v>
      </c>
      <c r="M352" s="165"/>
      <c r="N352" s="164">
        <f ca="1">IFERROR(__xludf.DUMMYFUNCTION("IMPORTRANGE(""https://docs.google.com/spreadsheets/d/11923uPwbBZFjjGgGUA6NLw09EwE0CqkOc4q9oUmW1yo/edit?usp=sharing"",""ตาก!M247"")"),0)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IFERROR(__xludf.DUMMYFUNCTION("IMPORTRANGE(""https://docs.google.com/spreadsheets/d/11923uPwbBZFjjGgGUA6NLw09EwE0CqkOc4q9oUmW1yo/edit?usp=sharing"",""ตาก!L248"")"),0)</f>
        <v>0</v>
      </c>
      <c r="M353" s="168"/>
      <c r="N353" s="168">
        <f ca="1">IFERROR(__xludf.DUMMYFUNCTION("IMPORTRANGE(""https://docs.google.com/spreadsheets/d/11923uPwbBZFjjGgGUA6NLw09EwE0CqkOc4q9oUmW1yo/edit?usp=sharing"",""ตาก!M248"")"),0)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IFERROR(__xludf.DUMMYFUNCTION("IMPORTRANGE(""https://docs.google.com/spreadsheets/d/11923uPwbBZFjjGgGUA6NLw09EwE0CqkOc4q9oUmW1yo/edit?usp=sharing"",""ตาก!L249"")"),0)</f>
        <v>0</v>
      </c>
      <c r="M354" s="168"/>
      <c r="N354" s="167">
        <f ca="1">IFERROR(__xludf.DUMMYFUNCTION("IMPORTRANGE(""https://docs.google.com/spreadsheets/d/11923uPwbBZFjjGgGUA6NLw09EwE0CqkOc4q9oUmW1yo/edit?usp=sharing"",""ตาก!M249"")"),0)</f>
        <v>0</v>
      </c>
      <c r="O354" s="168">
        <f t="shared" ca="1" si="105"/>
        <v>0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IFERROR(__xludf.DUMMYFUNCTION("IMPORTRANGE(""https://docs.google.com/spreadsheets/d/11923uPwbBZFjjGgGUA6NLw09EwE0CqkOc4q9oUmW1yo/edit?usp=sharing"",""ตาก!M250"")"),0)</f>
        <v>0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IFERROR(__xludf.DUMMYFUNCTION("IMPORTRANGE(""https://docs.google.com/spreadsheets/d/11923uPwbBZFjjGgGUA6NLw09EwE0CqkOc4q9oUmW1yo/edit?usp=sharing"",""ตาก!M251"")"),0)</f>
        <v>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IFERROR(__xludf.DUMMYFUNCTION("IMPORTRANGE(""https://docs.google.com/spreadsheets/d/11923uPwbBZFjjGgGUA6NLw09EwE0CqkOc4q9oUmW1yo/edit?usp=sharing"",""ตาก!M252"")"),0)</f>
        <v>0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IFERROR(__xludf.DUMMYFUNCTION("IMPORTRANGE(""https://docs.google.com/spreadsheets/d/11923uPwbBZFjjGgGUA6NLw09EwE0CqkOc4q9oUmW1yo/edit?usp=sharing"",""ตาก!M253"")"),0)</f>
        <v>0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IFERROR(__xludf.DUMMYFUNCTION("IMPORTRANGE(""https://docs.google.com/spreadsheets/d/11923uPwbBZFjjGgGUA6NLw09EwE0CqkOc4q9oUmW1yo/edit?usp=sharing"",""ตาก!J255"")"),0)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IFERROR(__xludf.DUMMYFUNCTION("IMPORTRANGE(""https://docs.google.com/spreadsheets/d/11923uPwbBZFjjGgGUA6NLw09EwE0CqkOc4q9oUmW1yo/edit?usp=sharing"",""ตาก!J256"")"),0)</f>
        <v>0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IFERROR(__xludf.DUMMYFUNCTION("IMPORTRANGE(""https://docs.google.com/spreadsheets/d/11923uPwbBZFjjGgGUA6NLw09EwE0CqkOc4q9oUmW1yo/edit?usp=sharing"",""ตาก!J257"")"),0)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IFERROR(__xludf.DUMMYFUNCTION("IMPORTRANGE(""https://docs.google.com/spreadsheets/d/11923uPwbBZFjjGgGUA6NLw09EwE0CqkOc4q9oUmW1yo/edit?usp=sharing"",""ตาก!J258"")"),0)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IFERROR(__xludf.DUMMYFUNCTION("IMPORTRANGE(""https://docs.google.com/spreadsheets/d/11923uPwbBZFjjGgGUA6NLw09EwE0CqkOc4q9oUmW1yo/edit?usp=sharing"",""ตาก!J166"")"),0)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IFERROR(__xludf.DUMMYFUNCTION("IMPORTRANGE(""https://docs.google.com/spreadsheets/d/11923uPwbBZFjjGgGUA6NLw09EwE0CqkOc4q9oUmW1yo/edit?usp=sharing"",""ตาก!J166"")"),0)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IFERROR(__xludf.DUMMYFUNCTION("IMPORTRANGE(""https://docs.google.com/spreadsheets/d/11923uPwbBZFjjGgGUA6NLw09EwE0CqkOc4q9oUmW1yo/edit?usp=sharing"",""ตาก!J166"")"),0)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IFERROR(__xludf.DUMMYFUNCTION("IMPORTRANGE(""https://docs.google.com/spreadsheets/d/11923uPwbBZFjjGgGUA6NLw09EwE0CqkOc4q9oUmW1yo/edit?usp=sharing"",""ตาก!J166"")"),0)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IFERROR(__xludf.DUMMYFUNCTION("IMPORTRANGE(""https://docs.google.com/spreadsheets/d/11923uPwbBZFjjGgGUA6NLw09EwE0CqkOc4q9oUmW1yo/edit?usp=sharing"",""ตาก!I263"")"),0)</f>
        <v>0</v>
      </c>
      <c r="J368" s="187">
        <f ca="1">IFERROR(__xludf.DUMMYFUNCTION("IMPORTRANGE(""https://docs.google.com/spreadsheets/d/11923uPwbBZFjjGgGUA6NLw09EwE0CqkOc4q9oUmW1yo/edit?usp=sharing"",""ตาก!J263"")"),0)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IFERROR(__xludf.DUMMYFUNCTION("IMPORTRANGE(""https://docs.google.com/spreadsheets/d/11923uPwbBZFjjGgGUA6NLw09EwE0CqkOc4q9oUmW1yo/edit?usp=sharing"",""ตาก!I164"")"),0)</f>
        <v>0</v>
      </c>
      <c r="J369" s="203">
        <f ca="1">IFERROR(__xludf.DUMMYFUNCTION("IMPORTRANGE(""https://docs.google.com/spreadsheets/d/11923uPwbBZFjjGgGUA6NLw09EwE0CqkOc4q9oUmW1yo/edit?usp=sharing"",""ตาก!J164"")"),0)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IFERROR(__xludf.DUMMYFUNCTION("IMPORTRANGE(""https://docs.google.com/spreadsheets/d/11923uPwbBZFjjGgGUA6NLw09EwE0CqkOc4q9oUmW1yo/edit?usp=sharing"",""ตาก!I265"")"),0)</f>
        <v>0</v>
      </c>
      <c r="J370" s="203">
        <f ca="1">IFERROR(__xludf.DUMMYFUNCTION("IMPORTRANGE(""https://docs.google.com/spreadsheets/d/11923uPwbBZFjjGgGUA6NLw09EwE0CqkOc4q9oUmW1yo/edit?usp=sharing"",""ตาก!J265"")"),0)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IFERROR(__xludf.DUMMYFUNCTION("IMPORTRANGE(""https://docs.google.com/spreadsheets/d/11923uPwbBZFjjGgGUA6NLw09EwE0CqkOc4q9oUmW1yo/edit?usp=sharing"",""ตาก!I164"")"),0)</f>
        <v>0</v>
      </c>
      <c r="J371" s="188">
        <f ca="1">IFERROR(__xludf.DUMMYFUNCTION("IMPORTRANGE(""https://docs.google.com/spreadsheets/d/11923uPwbBZFjjGgGUA6NLw09EwE0CqkOc4q9oUmW1yo/edit?usp=sharing"",""ตาก!J164"")"),0)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IFERROR(__xludf.DUMMYFUNCTION("IMPORTRANGE(""https://docs.google.com/spreadsheets/d/11923uPwbBZFjjGgGUA6NLw09EwE0CqkOc4q9oUmW1yo/edit?usp=sharing"",""ตาก!I267"")"),0)</f>
        <v>0</v>
      </c>
      <c r="J372" s="188">
        <f ca="1">IFERROR(__xludf.DUMMYFUNCTION("IMPORTRANGE(""https://docs.google.com/spreadsheets/d/11923uPwbBZFjjGgGUA6NLw09EwE0CqkOc4q9oUmW1yo/edit?usp=sharing"",""ตาก!J267"")"),0)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IFERROR(__xludf.DUMMYFUNCTION("IMPORTRANGE(""https://docs.google.com/spreadsheets/d/11923uPwbBZFjjGgGUA6NLw09EwE0CqkOc4q9oUmW1yo/edit?usp=sharing"",""ตาก!I164"")"),0)</f>
        <v>0</v>
      </c>
      <c r="J373" s="203">
        <f ca="1">IFERROR(__xludf.DUMMYFUNCTION("IMPORTRANGE(""https://docs.google.com/spreadsheets/d/11923uPwbBZFjjGgGUA6NLw09EwE0CqkOc4q9oUmW1yo/edit?usp=sharing"",""ตาก!J164"")"),0)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IFERROR(__xludf.DUMMYFUNCTION("IMPORTRANGE(""https://docs.google.com/spreadsheets/d/11923uPwbBZFjjGgGUA6NLw09EwE0CqkOc4q9oUmW1yo/edit?usp=sharing"",""ตาก!I164"")"),0)</f>
        <v>0</v>
      </c>
      <c r="J374" s="187">
        <f ca="1">IFERROR(__xludf.DUMMYFUNCTION("IMPORTRANGE(""https://docs.google.com/spreadsheets/d/11923uPwbBZFjjGgGUA6NLw09EwE0CqkOc4q9oUmW1yo/edit?usp=sharing"",""ตาก!J164"")"),0)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IFERROR(__xludf.DUMMYFUNCTION("IMPORTRANGE(""https://docs.google.com/spreadsheets/d/11923uPwbBZFjjGgGUA6NLw09EwE0CqkOc4q9oUmW1yo/edit?usp=sharing"",""ตาก!I270"")"),0)</f>
        <v>0</v>
      </c>
      <c r="J375" s="187">
        <f ca="1">IFERROR(__xludf.DUMMYFUNCTION("IMPORTRANGE(""https://docs.google.com/spreadsheets/d/11923uPwbBZFjjGgGUA6NLw09EwE0CqkOc4q9oUmW1yo/edit?usp=sharing"",""ตาก!J270"")"),0)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IFERROR(__xludf.DUMMYFUNCTION("IMPORTRANGE(""https://docs.google.com/spreadsheets/d/11923uPwbBZFjjGgGUA6NLw09EwE0CqkOc4q9oUmW1yo/edit?usp=sharing"",""ตาก!I271"")"),0)</f>
        <v>0</v>
      </c>
      <c r="J376" s="188">
        <f ca="1">IFERROR(__xludf.DUMMYFUNCTION("IMPORTRANGE(""https://docs.google.com/spreadsheets/d/11923uPwbBZFjjGgGUA6NLw09EwE0CqkOc4q9oUmW1yo/edit?usp=sharing"",""ตาก!J271"")"),0)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IFERROR(__xludf.DUMMYFUNCTION("IMPORTRANGE(""https://docs.google.com/spreadsheets/d/11923uPwbBZFjjGgGUA6NLw09EwE0CqkOc4q9oUmW1yo/edit?usp=sharing"",""ตาก!I272"")"),0)</f>
        <v>0</v>
      </c>
      <c r="J377" s="203">
        <f ca="1">IFERROR(__xludf.DUMMYFUNCTION("IMPORTRANGE(""https://docs.google.com/spreadsheets/d/11923uPwbBZFjjGgGUA6NLw09EwE0CqkOc4q9oUmW1yo/edit?usp=sharing"",""ตาก!J272"")"),0)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IFERROR(__xludf.DUMMYFUNCTION("IMPORTRANGE(""https://docs.google.com/spreadsheets/d/11923uPwbBZFjjGgGUA6NLw09EwE0CqkOc4q9oUmW1yo/edit?usp=sharing"",""ตาก!J273"")"),0)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IFERROR(__xludf.DUMMYFUNCTION("IMPORTRANGE(""https://docs.google.com/spreadsheets/d/11923uPwbBZFjjGgGUA6NLw09EwE0CqkOc4q9oUmW1yo/edit?usp=sharing"",""ตาก!J274"")"),0)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IFERROR(__xludf.DUMMYFUNCTION("IMPORTRANGE(""https://docs.google.com/spreadsheets/d/11923uPwbBZFjjGgGUA6NLw09EwE0CqkOc4q9oUmW1yo/edit?usp=sharing"",""ตาก!I275"")"),500)</f>
        <v>500</v>
      </c>
      <c r="J380" s="369">
        <f ca="1">IFERROR(__xludf.DUMMYFUNCTION("IMPORTRANGE(""https://docs.google.com/spreadsheets/d/11923uPwbBZFjjGgGUA6NLw09EwE0CqkOc4q9oUmW1yo/edit?usp=sharing"",""ตาก!J275"")"),500)</f>
        <v>500</v>
      </c>
      <c r="K380" s="370">
        <f t="shared" ref="K380:K381" ca="1" si="108">IF(I380&gt;0,J380*100/I380,0)</f>
        <v>100</v>
      </c>
      <c r="L380" s="371">
        <f ca="1">IFERROR(__xludf.DUMMYFUNCTION("IMPORTRANGE(""https://docs.google.com/spreadsheets/d/11923uPwbBZFjjGgGUA6NLw09EwE0CqkOc4q9oUmW1yo/edit?usp=sharing"",""ตาก!L275"")"),460140)</f>
        <v>460140</v>
      </c>
      <c r="M380" s="371"/>
      <c r="N380" s="371">
        <f ca="1">IFERROR(__xludf.DUMMYFUNCTION("IMPORTRANGE(""https://docs.google.com/spreadsheets/d/11923uPwbBZFjjGgGUA6NLw09EwE0CqkOc4q9oUmW1yo/edit?usp=sharing"",""ตาก!M275"")"),404980)</f>
        <v>404980</v>
      </c>
      <c r="O380" s="371">
        <f ca="1">+IF(L380&gt;0,N380*100/L380,0)</f>
        <v>88.012344069196331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IFERROR(__xludf.DUMMYFUNCTION("IMPORTRANGE(""https://docs.google.com/spreadsheets/d/11923uPwbBZFjjGgGUA6NLw09EwE0CqkOc4q9oUmW1yo/edit?usp=sharing"",""ตาก!I276"")"),50)</f>
        <v>50</v>
      </c>
      <c r="J381" s="369">
        <f ca="1">IFERROR(__xludf.DUMMYFUNCTION("IMPORTRANGE(""https://docs.google.com/spreadsheets/d/11923uPwbBZFjjGgGUA6NLw09EwE0CqkOc4q9oUmW1yo/edit?usp=sharing"",""ตาก!J276"")"),50)</f>
        <v>50</v>
      </c>
      <c r="K381" s="370">
        <f t="shared" ca="1" si="108"/>
        <v>100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IFERROR(__xludf.DUMMYFUNCTION("IMPORTRANGE(""https://docs.google.com/spreadsheets/d/11923uPwbBZFjjGgGUA6NLw09EwE0CqkOc4q9oUmW1yo/edit?usp=sharing"",""ตาก!L277"")"),0)</f>
        <v>0</v>
      </c>
      <c r="M382" s="164"/>
      <c r="N382" s="164">
        <f ca="1">IFERROR(__xludf.DUMMYFUNCTION("IMPORTRANGE(""https://docs.google.com/spreadsheets/d/11923uPwbBZFjjGgGUA6NLw09EwE0CqkOc4q9oUmW1yo/edit?usp=sharing"",""ตาก!M277"")"),0)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IFERROR(__xludf.DUMMYFUNCTION("IMPORTRANGE(""https://docs.google.com/spreadsheets/d/11923uPwbBZFjjGgGUA6NLw09EwE0CqkOc4q9oUmW1yo/edit?usp=sharing"",""ตาก!L278"")"),460140)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IFERROR(__xludf.DUMMYFUNCTION("IMPORTRANGE(""https://docs.google.com/spreadsheets/d/11923uPwbBZFjjGgGUA6NLw09EwE0CqkOc4q9oUmW1yo/edit?usp=sharing"",""ตาก!M278"")"),404980)</f>
        <v>404980</v>
      </c>
      <c r="O383" s="165">
        <f t="shared" ca="1" si="109"/>
        <v>88.012344069196331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IFERROR(__xludf.DUMMYFUNCTION("IMPORTRANGE(""https://docs.google.com/spreadsheets/d/11923uPwbBZFjjGgGUA6NLw09EwE0CqkOc4q9oUmW1yo/edit?usp=sharing"",""ตาก!L279"")"),0)</f>
        <v>0</v>
      </c>
      <c r="M384" s="168"/>
      <c r="N384" s="168">
        <f ca="1">IFERROR(__xludf.DUMMYFUNCTION("IMPORTRANGE(""https://docs.google.com/spreadsheets/d/11923uPwbBZFjjGgGUA6NLw09EwE0CqkOc4q9oUmW1yo/edit?usp=sharing"",""ตาก!M279"")"),0)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IFERROR(__xludf.DUMMYFUNCTION("IMPORTRANGE(""https://docs.google.com/spreadsheets/d/11923uPwbBZFjjGgGUA6NLw09EwE0CqkOc4q9oUmW1yo/edit?usp=sharing"",""ตาก!L280"")"),460140)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IFERROR(__xludf.DUMMYFUNCTION("IMPORTRANGE(""https://docs.google.com/spreadsheets/d/11923uPwbBZFjjGgGUA6NLw09EwE0CqkOc4q9oUmW1yo/edit?usp=sharing"",""ตาก!M280"")"),404980)</f>
        <v>404980</v>
      </c>
      <c r="O385" s="168">
        <f t="shared" ca="1" si="109"/>
        <v>88.012344069196331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IFERROR(__xludf.DUMMYFUNCTION("IMPORTRANGE(""https://docs.google.com/spreadsheets/d/11923uPwbBZFjjGgGUA6NLw09EwE0CqkOc4q9oUmW1yo/edit?usp=sharing"",""ตาก!M281"")"),78220)</f>
        <v>78220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IFERROR(__xludf.DUMMYFUNCTION("IMPORTRANGE(""https://docs.google.com/spreadsheets/d/11923uPwbBZFjjGgGUA6NLw09EwE0CqkOc4q9oUmW1yo/edit?usp=sharing"",""ตาก!M282"")"),312500)</f>
        <v>312500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IFERROR(__xludf.DUMMYFUNCTION("IMPORTRANGE(""https://docs.google.com/spreadsheets/d/11923uPwbBZFjjGgGUA6NLw09EwE0CqkOc4q9oUmW1yo/edit?usp=sharing"",""ตาก!M283"")"),0)</f>
        <v>0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IFERROR(__xludf.DUMMYFUNCTION("IMPORTRANGE(""https://docs.google.com/spreadsheets/d/11923uPwbBZFjjGgGUA6NLw09EwE0CqkOc4q9oUmW1yo/edit?usp=sharing"",""ตาก!M284"")"),14260)</f>
        <v>14260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IFERROR(__xludf.DUMMYFUNCTION("IMPORTRANGE(""https://docs.google.com/spreadsheets/d/11923uPwbBZFjjGgGUA6NLw09EwE0CqkOc4q9oUmW1yo/edit?usp=sharing"",""ตาก!J286"")"),0)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IFERROR(__xludf.DUMMYFUNCTION("IMPORTRANGE(""https://docs.google.com/spreadsheets/d/11923uPwbBZFjjGgGUA6NLw09EwE0CqkOc4q9oUmW1yo/edit?usp=sharing"",""ตาก!J287"")"),1)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IFERROR(__xludf.DUMMYFUNCTION("IMPORTRANGE(""https://docs.google.com/spreadsheets/d/11923uPwbBZFjjGgGUA6NLw09EwE0CqkOc4q9oUmW1yo/edit?usp=sharing"",""ตาก!J288"")"),1)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IFERROR(__xludf.DUMMYFUNCTION("IMPORTRANGE(""https://docs.google.com/spreadsheets/d/11923uPwbBZFjjGgGUA6NLw09EwE0CqkOc4q9oUmW1yo/edit?usp=sharing"",""ตาก!J289"")"),1)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IFERROR(__xludf.DUMMYFUNCTION("IMPORTRANGE(""https://docs.google.com/spreadsheets/d/11923uPwbBZFjjGgGUA6NLw09EwE0CqkOc4q9oUmW1yo/edit?usp=sharing"",""ตาก!I291"")"),50)</f>
        <v>50</v>
      </c>
      <c r="J396" s="197">
        <f ca="1">IFERROR(__xludf.DUMMYFUNCTION("IMPORTRANGE(""https://docs.google.com/spreadsheets/d/11923uPwbBZFjjGgGUA6NLw09EwE0CqkOc4q9oUmW1yo/edit?usp=sharing"",""ตาก!J291"")"),50)</f>
        <v>50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IFERROR(__xludf.DUMMYFUNCTION("IMPORTRANGE(""https://docs.google.com/spreadsheets/d/11923uPwbBZFjjGgGUA6NLw09EwE0CqkOc4q9oUmW1yo/edit?usp=sharing"",""ตาก!I292"")"),500)</f>
        <v>500</v>
      </c>
      <c r="J397" s="197">
        <f ca="1">IFERROR(__xludf.DUMMYFUNCTION("IMPORTRANGE(""https://docs.google.com/spreadsheets/d/11923uPwbBZFjjGgGUA6NLw09EwE0CqkOc4q9oUmW1yo/edit?usp=sharing"",""ตาก!J292"")"),500)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IFERROR(__xludf.DUMMYFUNCTION("IMPORTRANGE(""https://docs.google.com/spreadsheets/d/11923uPwbBZFjjGgGUA6NLw09EwE0CqkOc4q9oUmW1yo/edit?usp=sharing"",""ตาก!I293"")"),50)</f>
        <v>50</v>
      </c>
      <c r="J398" s="197">
        <f ca="1">IFERROR(__xludf.DUMMYFUNCTION("IMPORTRANGE(""https://docs.google.com/spreadsheets/d/11923uPwbBZFjjGgGUA6NLw09EwE0CqkOc4q9oUmW1yo/edit?usp=sharing"",""ตาก!J293"")"),50)</f>
        <v>50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IFERROR(__xludf.DUMMYFUNCTION("IMPORTRANGE(""https://docs.google.com/spreadsheets/d/11923uPwbBZFjjGgGUA6NLw09EwE0CqkOc4q9oUmW1yo/edit?usp=sharing"",""ตาก!J294"")"),0)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IFERROR(__xludf.DUMMYFUNCTION("IMPORTRANGE(""https://docs.google.com/spreadsheets/d/11923uPwbBZFjjGgGUA6NLw09EwE0CqkOc4q9oUmW1yo/edit?usp=sharing"",""ตาก!J295"")"),0)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IFERROR(__xludf.DUMMYFUNCTION("IMPORTRANGE(""https://docs.google.com/spreadsheets/d/11923uPwbBZFjjGgGUA6NLw09EwE0CqkOc4q9oUmW1yo/edit?usp=sharing"",""ตาก!I296"")"),225)</f>
        <v>225</v>
      </c>
      <c r="J401" s="369">
        <f ca="1">IFERROR(__xludf.DUMMYFUNCTION("IMPORTRANGE(""https://docs.google.com/spreadsheets/d/11923uPwbBZFjjGgGUA6NLw09EwE0CqkOc4q9oUmW1yo/edit?usp=sharing"",""ตาก!J296"")"),195)</f>
        <v>195</v>
      </c>
      <c r="K401" s="370">
        <f t="shared" ref="K401:K402" ca="1" si="111">IF(I401&gt;0,J401*100/I401,0)</f>
        <v>86.666666666666671</v>
      </c>
      <c r="L401" s="371">
        <f ca="1">IFERROR(__xludf.DUMMYFUNCTION("IMPORTRANGE(""https://docs.google.com/spreadsheets/d/11923uPwbBZFjjGgGUA6NLw09EwE0CqkOc4q9oUmW1yo/edit?usp=sharing"",""ตาก!L296"")"),230370)</f>
        <v>230370</v>
      </c>
      <c r="M401" s="371"/>
      <c r="N401" s="371">
        <f ca="1">IFERROR(__xludf.DUMMYFUNCTION("IMPORTRANGE(""https://docs.google.com/spreadsheets/d/11923uPwbBZFjjGgGUA6NLw09EwE0CqkOc4q9oUmW1yo/edit?usp=sharing"",""ตาก!M296"")"),117524)</f>
        <v>117524</v>
      </c>
      <c r="O401" s="371">
        <f ca="1">+IF(L401&gt;0,N401*100/L401,0)</f>
        <v>51.015323175760734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IFERROR(__xludf.DUMMYFUNCTION("IMPORTRANGE(""https://docs.google.com/spreadsheets/d/11923uPwbBZFjjGgGUA6NLw09EwE0CqkOc4q9oUmW1yo/edit?usp=sharing"",""ตาก!I297"")"),75)</f>
        <v>75</v>
      </c>
      <c r="J402" s="369">
        <f ca="1">IFERROR(__xludf.DUMMYFUNCTION("IMPORTRANGE(""https://docs.google.com/spreadsheets/d/11923uPwbBZFjjGgGUA6NLw09EwE0CqkOc4q9oUmW1yo/edit?usp=sharing"",""ตาก!J297"")"),65)</f>
        <v>65</v>
      </c>
      <c r="K402" s="370">
        <f t="shared" ca="1" si="111"/>
        <v>86.666666666666671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IFERROR(__xludf.DUMMYFUNCTION("IMPORTRANGE(""https://docs.google.com/spreadsheets/d/11923uPwbBZFjjGgGUA6NLw09EwE0CqkOc4q9oUmW1yo/edit?usp=sharing"",""ตาก!L298"")"),0)</f>
        <v>0</v>
      </c>
      <c r="M403" s="164"/>
      <c r="N403" s="168">
        <f ca="1">IFERROR(__xludf.DUMMYFUNCTION("IMPORTRANGE(""https://docs.google.com/spreadsheets/d/11923uPwbBZFjjGgGUA6NLw09EwE0CqkOc4q9oUmW1yo/edit?usp=sharing"",""ตาก!M298"")"),0)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IFERROR(__xludf.DUMMYFUNCTION("IMPORTRANGE(""https://docs.google.com/spreadsheets/d/11923uPwbBZFjjGgGUA6NLw09EwE0CqkOc4q9oUmW1yo/edit?usp=sharing"",""ตาก!L299"")"),230370)</f>
        <v>230370</v>
      </c>
      <c r="M404" s="165"/>
      <c r="N404" s="168">
        <f ca="1">IFERROR(__xludf.DUMMYFUNCTION("IMPORTRANGE(""https://docs.google.com/spreadsheets/d/11923uPwbBZFjjGgGUA6NLw09EwE0CqkOc4q9oUmW1yo/edit?usp=sharing"",""ตาก!M299"")"),117524)</f>
        <v>117524</v>
      </c>
      <c r="O404" s="168">
        <f t="shared" ca="1" si="112"/>
        <v>51.015323175760734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IFERROR(__xludf.DUMMYFUNCTION("IMPORTRANGE(""https://docs.google.com/spreadsheets/d/11923uPwbBZFjjGgGUA6NLw09EwE0CqkOc4q9oUmW1yo/edit?usp=sharing"",""ตาก!L300"")"),0)</f>
        <v>0</v>
      </c>
      <c r="M405" s="168"/>
      <c r="N405" s="168">
        <f ca="1">IFERROR(__xludf.DUMMYFUNCTION("IMPORTRANGE(""https://docs.google.com/spreadsheets/d/11923uPwbBZFjjGgGUA6NLw09EwE0CqkOc4q9oUmW1yo/edit?usp=sharing"",""ตาก!M300"")"),0)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IFERROR(__xludf.DUMMYFUNCTION("IMPORTRANGE(""https://docs.google.com/spreadsheets/d/11923uPwbBZFjjGgGUA6NLw09EwE0CqkOc4q9oUmW1yo/edit?usp=sharing"",""ตาก!L301"")"),230370)</f>
        <v>230370</v>
      </c>
      <c r="M406" s="168"/>
      <c r="N406" s="168">
        <f ca="1">IFERROR(__xludf.DUMMYFUNCTION("IMPORTRANGE(""https://docs.google.com/spreadsheets/d/11923uPwbBZFjjGgGUA6NLw09EwE0CqkOc4q9oUmW1yo/edit?usp=sharing"",""ตาก!M301"")"),117524)</f>
        <v>117524</v>
      </c>
      <c r="O406" s="168">
        <f t="shared" ca="1" si="112"/>
        <v>51.015323175760734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IFERROR(__xludf.DUMMYFUNCTION("IMPORTRANGE(""https://docs.google.com/spreadsheets/d/11923uPwbBZFjjGgGUA6NLw09EwE0CqkOc4q9oUmW1yo/edit?usp=sharing"",""ตาก!M302"")"),93480)</f>
        <v>93480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IFERROR(__xludf.DUMMYFUNCTION("IMPORTRANGE(""https://docs.google.com/spreadsheets/d/11923uPwbBZFjjGgGUA6NLw09EwE0CqkOc4q9oUmW1yo/edit?usp=sharing"",""ตาก!M303"")"),0)</f>
        <v>0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IFERROR(__xludf.DUMMYFUNCTION("IMPORTRANGE(""https://docs.google.com/spreadsheets/d/11923uPwbBZFjjGgGUA6NLw09EwE0CqkOc4q9oUmW1yo/edit?usp=sharing"",""ตาก!M304"")"),0)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IFERROR(__xludf.DUMMYFUNCTION("IMPORTRANGE(""https://docs.google.com/spreadsheets/d/11923uPwbBZFjjGgGUA6NLw09EwE0CqkOc4q9oUmW1yo/edit?usp=sharing"",""ตาก!M305"")"),24044)</f>
        <v>24044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IFERROR(__xludf.DUMMYFUNCTION("IMPORTRANGE(""https://docs.google.com/spreadsheets/d/11923uPwbBZFjjGgGUA6NLw09EwE0CqkOc4q9oUmW1yo/edit?usp=sharing"",""ตาก!J307"")"),0)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IFERROR(__xludf.DUMMYFUNCTION("IMPORTRANGE(""https://docs.google.com/spreadsheets/d/11923uPwbBZFjjGgGUA6NLw09EwE0CqkOc4q9oUmW1yo/edit?usp=sharing"",""ตาก!J308"")"),1)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IFERROR(__xludf.DUMMYFUNCTION("IMPORTRANGE(""https://docs.google.com/spreadsheets/d/11923uPwbBZFjjGgGUA6NLw09EwE0CqkOc4q9oUmW1yo/edit?usp=sharing"",""ตาก!J309"")"),1)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IFERROR(__xludf.DUMMYFUNCTION("IMPORTRANGE(""https://docs.google.com/spreadsheets/d/11923uPwbBZFjjGgGUA6NLw09EwE0CqkOc4q9oUmW1yo/edit?usp=sharing"",""ตาก!J310"")"),1)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IFERROR(__xludf.DUMMYFUNCTION("IMPORTRANGE(""https://docs.google.com/spreadsheets/d/11923uPwbBZFjjGgGUA6NLw09EwE0CqkOc4q9oUmW1yo/edit?usp=sharing"",""ตาก!I311"")"),75)</f>
        <v>75</v>
      </c>
      <c r="J416" s="200">
        <f ca="1">IFERROR(__xludf.DUMMYFUNCTION("IMPORTRANGE(""https://docs.google.com/spreadsheets/d/11923uPwbBZFjjGgGUA6NLw09EwE0CqkOc4q9oUmW1yo/edit?usp=sharing"",""ตาก!J311"")"),65)</f>
        <v>65</v>
      </c>
      <c r="K416" s="201">
        <f t="shared" ref="K416:K432" ca="1" si="113">IF(I416&gt;0,J416*100/I416,0)</f>
        <v>86.666666666666671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IFERROR(__xludf.DUMMYFUNCTION("IMPORTRANGE(""https://docs.google.com/spreadsheets/d/11923uPwbBZFjjGgGUA6NLw09EwE0CqkOc4q9oUmW1yo/edit?usp=sharing"",""ตาก!I312"")"),0)</f>
        <v>0</v>
      </c>
      <c r="J417" s="390">
        <f ca="1">IFERROR(__xludf.DUMMYFUNCTION("IMPORTRANGE(""https://docs.google.com/spreadsheets/d/11923uPwbBZFjjGgGUA6NLw09EwE0CqkOc4q9oUmW1yo/edit?usp=sharing"",""ตาก!J312"")"),0)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IFERROR(__xludf.DUMMYFUNCTION("IMPORTRANGE(""https://docs.google.com/spreadsheets/d/11923uPwbBZFjjGgGUA6NLw09EwE0CqkOc4q9oUmW1yo/edit?usp=sharing"",""ตาก!I313"")"),0)</f>
        <v>0</v>
      </c>
      <c r="J418" s="391">
        <f ca="1">IFERROR(__xludf.DUMMYFUNCTION("IMPORTRANGE(""https://docs.google.com/spreadsheets/d/11923uPwbBZFjjGgGUA6NLw09EwE0CqkOc4q9oUmW1yo/edit?usp=sharing"",""ตาก!J313"")"),0)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IFERROR(__xludf.DUMMYFUNCTION("IMPORTRANGE(""https://docs.google.com/spreadsheets/d/11923uPwbBZFjjGgGUA6NLw09EwE0CqkOc4q9oUmW1yo/edit?usp=sharing"",""ตาก!I314"")"),0)</f>
        <v>0</v>
      </c>
      <c r="J419" s="392">
        <f ca="1">IFERROR(__xludf.DUMMYFUNCTION("IMPORTRANGE(""https://docs.google.com/spreadsheets/d/11923uPwbBZFjjGgGUA6NLw09EwE0CqkOc4q9oUmW1yo/edit?usp=sharing"",""ตาก!J314"")"),0)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IFERROR(__xludf.DUMMYFUNCTION("IMPORTRANGE(""https://docs.google.com/spreadsheets/d/11923uPwbBZFjjGgGUA6NLw09EwE0CqkOc4q9oUmW1yo/edit?usp=sharing"",""ตาก!I315"")"),0)</f>
        <v>0</v>
      </c>
      <c r="J420" s="392">
        <f ca="1">IFERROR(__xludf.DUMMYFUNCTION("IMPORTRANGE(""https://docs.google.com/spreadsheets/d/11923uPwbBZFjjGgGUA6NLw09EwE0CqkOc4q9oUmW1yo/edit?usp=sharing"",""ตาก!J315"")"),0)</f>
        <v>0</v>
      </c>
      <c r="K420" s="286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IFERROR(__xludf.DUMMYFUNCTION("IMPORTRANGE(""https://docs.google.com/spreadsheets/d/11923uPwbBZFjjGgGUA6NLw09EwE0CqkOc4q9oUmW1yo/edit?usp=sharing"",""ตาก!I316"")"),65)</f>
        <v>65</v>
      </c>
      <c r="J421" s="390">
        <f ca="1">IFERROR(__xludf.DUMMYFUNCTION("IMPORTRANGE(""https://docs.google.com/spreadsheets/d/11923uPwbBZFjjGgGUA6NLw09EwE0CqkOc4q9oUmW1yo/edit?usp=sharing"",""ตาก!J316"")"),65)</f>
        <v>65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IFERROR(__xludf.DUMMYFUNCTION("IMPORTRANGE(""https://docs.google.com/spreadsheets/d/11923uPwbBZFjjGgGUA6NLw09EwE0CqkOc4q9oUmW1yo/edit?usp=sharing"",""ตาก!I317"")"),195)</f>
        <v>195</v>
      </c>
      <c r="J422" s="391">
        <f ca="1">IFERROR(__xludf.DUMMYFUNCTION("IMPORTRANGE(""https://docs.google.com/spreadsheets/d/11923uPwbBZFjjGgGUA6NLw09EwE0CqkOc4q9oUmW1yo/edit?usp=sharing"",""ตาก!J317"")"),195)</f>
        <v>195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IFERROR(__xludf.DUMMYFUNCTION("IMPORTRANGE(""https://docs.google.com/spreadsheets/d/11923uPwbBZFjjGgGUA6NLw09EwE0CqkOc4q9oUmW1yo/edit?usp=sharing"",""ตาก!I318"")"),65)</f>
        <v>65</v>
      </c>
      <c r="J423" s="392">
        <f ca="1">IFERROR(__xludf.DUMMYFUNCTION("IMPORTRANGE(""https://docs.google.com/spreadsheets/d/11923uPwbBZFjjGgGUA6NLw09EwE0CqkOc4q9oUmW1yo/edit?usp=sharing"",""ตาก!J318"")"),65)</f>
        <v>65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IFERROR(__xludf.DUMMYFUNCTION("IMPORTRANGE(""https://docs.google.com/spreadsheets/d/11923uPwbBZFjjGgGUA6NLw09EwE0CqkOc4q9oUmW1yo/edit?usp=sharing"",""ตาก!I319"")"),65)</f>
        <v>65</v>
      </c>
      <c r="J424" s="392">
        <f ca="1">IFERROR(__xludf.DUMMYFUNCTION("IMPORTRANGE(""https://docs.google.com/spreadsheets/d/11923uPwbBZFjjGgGUA6NLw09EwE0CqkOc4q9oUmW1yo/edit?usp=sharing"",""ตาก!J319"")"),65)</f>
        <v>65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IFERROR(__xludf.DUMMYFUNCTION("IMPORTRANGE(""https://docs.google.com/spreadsheets/d/11923uPwbBZFjjGgGUA6NLw09EwE0CqkOc4q9oUmW1yo/edit?usp=sharing"",""ตาก!I320"")"),65)</f>
        <v>65</v>
      </c>
      <c r="J425" s="392">
        <f ca="1">IFERROR(__xludf.DUMMYFUNCTION("IMPORTRANGE(""https://docs.google.com/spreadsheets/d/11923uPwbBZFjjGgGUA6NLw09EwE0CqkOc4q9oUmW1yo/edit?usp=sharing"",""ตาก!J320"")"),65)</f>
        <v>65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IFERROR(__xludf.DUMMYFUNCTION("IMPORTRANGE(""https://docs.google.com/spreadsheets/d/11923uPwbBZFjjGgGUA6NLw09EwE0CqkOc4q9oUmW1yo/edit?usp=sharing"",""ตาก!I321"")"),10)</f>
        <v>10</v>
      </c>
      <c r="J426" s="390">
        <f ca="1">IFERROR(__xludf.DUMMYFUNCTION("IMPORTRANGE(""https://docs.google.com/spreadsheets/d/11923uPwbBZFjjGgGUA6NLw09EwE0CqkOc4q9oUmW1yo/edit?usp=sharing"",""ตาก!J321"")"),0)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IFERROR(__xludf.DUMMYFUNCTION("IMPORTRANGE(""https://docs.google.com/spreadsheets/d/11923uPwbBZFjjGgGUA6NLw09EwE0CqkOc4q9oUmW1yo/edit?usp=sharing"",""ตาก!I322"")"),30)</f>
        <v>30</v>
      </c>
      <c r="J427" s="391">
        <f ca="1">IFERROR(__xludf.DUMMYFUNCTION("IMPORTRANGE(""https://docs.google.com/spreadsheets/d/11923uPwbBZFjjGgGUA6NLw09EwE0CqkOc4q9oUmW1yo/edit?usp=sharing"",""ตาก!J322"")"),0)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IFERROR(__xludf.DUMMYFUNCTION("IMPORTRANGE(""https://docs.google.com/spreadsheets/d/11923uPwbBZFjjGgGUA6NLw09EwE0CqkOc4q9oUmW1yo/edit?usp=sharing"",""ตาก!I323"")"),10)</f>
        <v>10</v>
      </c>
      <c r="J428" s="392">
        <f ca="1">IFERROR(__xludf.DUMMYFUNCTION("IMPORTRANGE(""https://docs.google.com/spreadsheets/d/11923uPwbBZFjjGgGUA6NLw09EwE0CqkOc4q9oUmW1yo/edit?usp=sharing"",""ตาก!J323"")"),0)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IFERROR(__xludf.DUMMYFUNCTION("IMPORTRANGE(""https://docs.google.com/spreadsheets/d/11923uPwbBZFjjGgGUA6NLw09EwE0CqkOc4q9oUmW1yo/edit?usp=sharing"",""ตาก!I324"")"),10)</f>
        <v>10</v>
      </c>
      <c r="J429" s="392">
        <f ca="1">IFERROR(__xludf.DUMMYFUNCTION("IMPORTRANGE(""https://docs.google.com/spreadsheets/d/11923uPwbBZFjjGgGUA6NLw09EwE0CqkOc4q9oUmW1yo/edit?usp=sharing"",""ตาก!J324"")"),0)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IFERROR(__xludf.DUMMYFUNCTION("IMPORTRANGE(""https://docs.google.com/spreadsheets/d/11923uPwbBZFjjGgGUA6NLw09EwE0CqkOc4q9oUmW1yo/edit?usp=sharing"",""ตาก!I325"")"),65)</f>
        <v>65</v>
      </c>
      <c r="J430" s="390">
        <f ca="1">IFERROR(__xludf.DUMMYFUNCTION("IMPORTRANGE(""https://docs.google.com/spreadsheets/d/11923uPwbBZFjjGgGUA6NLw09EwE0CqkOc4q9oUmW1yo/edit?usp=sharing"",""ตาก!J325"")"),0)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IFERROR(__xludf.DUMMYFUNCTION("IMPORTRANGE(""https://docs.google.com/spreadsheets/d/11923uPwbBZFjjGgGUA6NLw09EwE0CqkOc4q9oUmW1yo/edit?usp=sharing"",""ตาก!I326"")"),0)</f>
        <v>0</v>
      </c>
      <c r="J431" s="392">
        <f ca="1">IFERROR(__xludf.DUMMYFUNCTION("IMPORTRANGE(""https://docs.google.com/spreadsheets/d/11923uPwbBZFjjGgGUA6NLw09EwE0CqkOc4q9oUmW1yo/edit?usp=sharing"",""ตาก!J326"")"),0)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IFERROR(__xludf.DUMMYFUNCTION("IMPORTRANGE(""https://docs.google.com/spreadsheets/d/11923uPwbBZFjjGgGUA6NLw09EwE0CqkOc4q9oUmW1yo/edit?usp=sharing"",""ตาก!I327"")"),65)</f>
        <v>65</v>
      </c>
      <c r="J432" s="392">
        <f ca="1">IFERROR(__xludf.DUMMYFUNCTION("IMPORTRANGE(""https://docs.google.com/spreadsheets/d/11923uPwbBZFjjGgGUA6NLw09EwE0CqkOc4q9oUmW1yo/edit?usp=sharing"",""ตาก!J327"")"),0)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IFERROR(__xludf.DUMMYFUNCTION("IMPORTRANGE(""https://docs.google.com/spreadsheets/d/11923uPwbBZFjjGgGUA6NLw09EwE0CqkOc4q9oUmW1yo/edit?usp=sharing"",""ตาก!J328"")"),0)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IFERROR(__xludf.DUMMYFUNCTION("IMPORTRANGE(""https://docs.google.com/spreadsheets/d/11923uPwbBZFjjGgGUA6NLw09EwE0CqkOc4q9oUmW1yo/edit?usp=sharing"",""ตาก!J329"")"),0)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IFERROR(__xludf.DUMMYFUNCTION("IMPORTRANGE(""https://docs.google.com/spreadsheets/d/11923uPwbBZFjjGgGUA6NLw09EwE0CqkOc4q9oUmW1yo/edit?usp=sharing"",""ตาก!I330"")"),20)</f>
        <v>20</v>
      </c>
      <c r="J435" s="408">
        <f ca="1">IFERROR(__xludf.DUMMYFUNCTION("IMPORTRANGE(""https://docs.google.com/spreadsheets/d/11923uPwbBZFjjGgGUA6NLw09EwE0CqkOc4q9oUmW1yo/edit?usp=sharing"",""ตาก!J330"")"),20)</f>
        <v>20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IFERROR(__xludf.DUMMYFUNCTION("IMPORTRANGE(""https://docs.google.com/spreadsheets/d/11923uPwbBZFjjGgGUA6NLw09EwE0CqkOc4q9oUmW1yo/edit?usp=sharing"",""ตาก!L330"")"),100000)</f>
        <v>100000</v>
      </c>
      <c r="M435" s="410"/>
      <c r="N435" s="410">
        <f ca="1">IFERROR(__xludf.DUMMYFUNCTION("IMPORTRANGE(""https://docs.google.com/spreadsheets/d/11923uPwbBZFjjGgGUA6NLw09EwE0CqkOc4q9oUmW1yo/edit?usp=sharing"",""ตาก!M330"")"),43030)</f>
        <v>43030</v>
      </c>
      <c r="O435" s="410">
        <f t="shared" ref="O435:O439" ca="1" si="114">+IF(L435&gt;0,N435*100/L435,0)</f>
        <v>43.03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IFERROR(__xludf.DUMMYFUNCTION("IMPORTRANGE(""https://docs.google.com/spreadsheets/d/11923uPwbBZFjjGgGUA6NLw09EwE0CqkOc4q9oUmW1yo/edit?usp=sharing"",""ตาก!L331"")"),0)</f>
        <v>0</v>
      </c>
      <c r="M436" s="164"/>
      <c r="N436" s="168">
        <f ca="1">IFERROR(__xludf.DUMMYFUNCTION("IMPORTRANGE(""https://docs.google.com/spreadsheets/d/11923uPwbBZFjjGgGUA6NLw09EwE0CqkOc4q9oUmW1yo/edit?usp=sharing"",""ตาก!M331"")"),0)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IFERROR(__xludf.DUMMYFUNCTION("IMPORTRANGE(""https://docs.google.com/spreadsheets/d/11923uPwbBZFjjGgGUA6NLw09EwE0CqkOc4q9oUmW1yo/edit?usp=sharing"",""ตาก!L332"")"),100000)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IFERROR(__xludf.DUMMYFUNCTION("IMPORTRANGE(""https://docs.google.com/spreadsheets/d/11923uPwbBZFjjGgGUA6NLw09EwE0CqkOc4q9oUmW1yo/edit?usp=sharing"",""ตาก!M332"")"),43030)</f>
        <v>43030</v>
      </c>
      <c r="O437" s="168">
        <f t="shared" ca="1" si="114"/>
        <v>43.03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IFERROR(__xludf.DUMMYFUNCTION("IMPORTRANGE(""https://docs.google.com/spreadsheets/d/11923uPwbBZFjjGgGUA6NLw09EwE0CqkOc4q9oUmW1yo/edit?usp=sharing"",""ตาก!L333"")"),0)</f>
        <v>0</v>
      </c>
      <c r="M438" s="168"/>
      <c r="N438" s="168">
        <f ca="1">IFERROR(__xludf.DUMMYFUNCTION("IMPORTRANGE(""https://docs.google.com/spreadsheets/d/11923uPwbBZFjjGgGUA6NLw09EwE0CqkOc4q9oUmW1yo/edit?usp=sharing"",""ตาก!M333"")"),0)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IFERROR(__xludf.DUMMYFUNCTION("IMPORTRANGE(""https://docs.google.com/spreadsheets/d/11923uPwbBZFjjGgGUA6NLw09EwE0CqkOc4q9oUmW1yo/edit?usp=sharing"",""ตาก!L334"")"),100000)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IFERROR(__xludf.DUMMYFUNCTION("IMPORTRANGE(""https://docs.google.com/spreadsheets/d/11923uPwbBZFjjGgGUA6NLw09EwE0CqkOc4q9oUmW1yo/edit?usp=sharing"",""ตาก!M334"")"),43030)</f>
        <v>43030</v>
      </c>
      <c r="O439" s="168">
        <f t="shared" ca="1" si="114"/>
        <v>43.03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IFERROR(__xludf.DUMMYFUNCTION("IMPORTRANGE(""https://docs.google.com/spreadsheets/d/11923uPwbBZFjjGgGUA6NLw09EwE0CqkOc4q9oUmW1yo/edit?usp=sharing"",""ตาก!M335"")"),31730)</f>
        <v>31730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IFERROR(__xludf.DUMMYFUNCTION("IMPORTRANGE(""https://docs.google.com/spreadsheets/d/11923uPwbBZFjjGgGUA6NLw09EwE0CqkOc4q9oUmW1yo/edit?usp=sharing"",""ตาก!M336"")"),0)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IFERROR(__xludf.DUMMYFUNCTION("IMPORTRANGE(""https://docs.google.com/spreadsheets/d/11923uPwbBZFjjGgGUA6NLw09EwE0CqkOc4q9oUmW1yo/edit?usp=sharing"",""ตาก!M337"")"),0)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IFERROR(__xludf.DUMMYFUNCTION("IMPORTRANGE(""https://docs.google.com/spreadsheets/d/11923uPwbBZFjjGgGUA6NLw09EwE0CqkOc4q9oUmW1yo/edit?usp=sharing"",""ตาก!M338"")"),11300)</f>
        <v>11300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IFERROR(__xludf.DUMMYFUNCTION("IMPORTRANGE(""https://docs.google.com/spreadsheets/d/11923uPwbBZFjjGgGUA6NLw09EwE0CqkOc4q9oUmW1yo/edit?usp=sharing"",""ตาก!J340"")"),0)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IFERROR(__xludf.DUMMYFUNCTION("IMPORTRANGE(""https://docs.google.com/spreadsheets/d/11923uPwbBZFjjGgGUA6NLw09EwE0CqkOc4q9oUmW1yo/edit?usp=sharing"",""ตาก!J341"")"),1)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IFERROR(__xludf.DUMMYFUNCTION("IMPORTRANGE(""https://docs.google.com/spreadsheets/d/11923uPwbBZFjjGgGUA6NLw09EwE0CqkOc4q9oUmW1yo/edit?usp=sharing"",""ตาก!J342"")"),1)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IFERROR(__xludf.DUMMYFUNCTION("IMPORTRANGE(""https://docs.google.com/spreadsheets/d/11923uPwbBZFjjGgGUA6NLw09EwE0CqkOc4q9oUmW1yo/edit?usp=sharing"",""ตาก!J343"")"),1)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IFERROR(__xludf.DUMMYFUNCTION("IMPORTRANGE(""https://docs.google.com/spreadsheets/d/11923uPwbBZFjjGgGUA6NLw09EwE0CqkOc4q9oUmW1yo/edit?usp=sharing"",""ตาก!I344"")"),20)</f>
        <v>20</v>
      </c>
      <c r="J449" s="200">
        <f ca="1">IFERROR(__xludf.DUMMYFUNCTION("IMPORTRANGE(""https://docs.google.com/spreadsheets/d/11923uPwbBZFjjGgGUA6NLw09EwE0CqkOc4q9oUmW1yo/edit?usp=sharing"",""ตาก!J344"")"),20)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IFERROR(__xludf.DUMMYFUNCTION("IMPORTRANGE(""https://docs.google.com/spreadsheets/d/11923uPwbBZFjjGgGUA6NLw09EwE0CqkOc4q9oUmW1yo/edit?usp=sharing"",""ตาก!I345"")"),20)</f>
        <v>20</v>
      </c>
      <c r="J450" s="188">
        <f ca="1">IFERROR(__xludf.DUMMYFUNCTION("IMPORTRANGE(""https://docs.google.com/spreadsheets/d/11923uPwbBZFjjGgGUA6NLw09EwE0CqkOc4q9oUmW1yo/edit?usp=sharing"",""ตาก!J345"")"),20)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IFERROR(__xludf.DUMMYFUNCTION("IMPORTRANGE(""https://docs.google.com/spreadsheets/d/11923uPwbBZFjjGgGUA6NLw09EwE0CqkOc4q9oUmW1yo/edit?usp=sharing"",""ตาก!I346"")"),0)</f>
        <v>0</v>
      </c>
      <c r="J451" s="187">
        <f ca="1">IFERROR(__xludf.DUMMYFUNCTION("IMPORTRANGE(""https://docs.google.com/spreadsheets/d/11923uPwbBZFjjGgGUA6NLw09EwE0CqkOc4q9oUmW1yo/edit?usp=sharing"",""ตาก!J346"")"),0)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IFERROR(__xludf.DUMMYFUNCTION("IMPORTRANGE(""https://docs.google.com/spreadsheets/d/11923uPwbBZFjjGgGUA6NLw09EwE0CqkOc4q9oUmW1yo/edit?usp=sharing"",""ตาก!I347"")"),0)</f>
        <v>0</v>
      </c>
      <c r="J452" s="187">
        <f ca="1">IFERROR(__xludf.DUMMYFUNCTION("IMPORTRANGE(""https://docs.google.com/spreadsheets/d/11923uPwbBZFjjGgGUA6NLw09EwE0CqkOc4q9oUmW1yo/edit?usp=sharing"",""ตาก!J347"")"),0)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IFERROR(__xludf.DUMMYFUNCTION("IMPORTRANGE(""https://docs.google.com/spreadsheets/d/11923uPwbBZFjjGgGUA6NLw09EwE0CqkOc4q9oUmW1yo/edit?usp=sharing"",""ตาก!J348"")"),0)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IFERROR(__xludf.DUMMYFUNCTION("IMPORTRANGE(""https://docs.google.com/spreadsheets/d/11923uPwbBZFjjGgGUA6NLw09EwE0CqkOc4q9oUmW1yo/edit?usp=sharing"",""ตาก!J349"")"),0)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IFERROR(__xludf.DUMMYFUNCTION("IMPORTRANGE(""https://docs.google.com/spreadsheets/d/11923uPwbBZFjjGgGUA6NLw09EwE0CqkOc4q9oUmW1yo/edit?usp=sharing"",""ตาก!I350"")"),55356)</f>
        <v>55356</v>
      </c>
      <c r="J455" s="369">
        <f ca="1">IFERROR(__xludf.DUMMYFUNCTION("IMPORTRANGE(""https://docs.google.com/spreadsheets/d/11923uPwbBZFjjGgGUA6NLw09EwE0CqkOc4q9oUmW1yo/edit?usp=sharing"",""ตาก!J350"")"),0)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IFERROR(__xludf.DUMMYFUNCTION("IMPORTRANGE(""https://docs.google.com/spreadsheets/d/11923uPwbBZFjjGgGUA6NLw09EwE0CqkOc4q9oUmW1yo/edit?usp=sharing"",""ตาก!L350"")"),462178)</f>
        <v>462178</v>
      </c>
      <c r="M455" s="371"/>
      <c r="N455" s="371">
        <f ca="1">IFERROR(__xludf.DUMMYFUNCTION("IMPORTRANGE(""https://docs.google.com/spreadsheets/d/11923uPwbBZFjjGgGUA6NLw09EwE0CqkOc4q9oUmW1yo/edit?usp=sharing"",""ตาก!M350"")"),72743)</f>
        <v>72743</v>
      </c>
      <c r="O455" s="371">
        <f t="shared" ref="O455:O459" ca="1" si="116">+IF(L455&gt;0,N455*100/L455,0)</f>
        <v>15.739174084443656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IFERROR(__xludf.DUMMYFUNCTION("IMPORTRANGE(""https://docs.google.com/spreadsheets/d/11923uPwbBZFjjGgGUA6NLw09EwE0CqkOc4q9oUmW1yo/edit?usp=sharing"",""ตาก!L351"")"),0)</f>
        <v>0</v>
      </c>
      <c r="M456" s="164"/>
      <c r="N456" s="168">
        <f ca="1">IFERROR(__xludf.DUMMYFUNCTION("IMPORTRANGE(""https://docs.google.com/spreadsheets/d/11923uPwbBZFjjGgGUA6NLw09EwE0CqkOc4q9oUmW1yo/edit?usp=sharing"",""ตาก!M351"")"),0)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IFERROR(__xludf.DUMMYFUNCTION("IMPORTRANGE(""https://docs.google.com/spreadsheets/d/11923uPwbBZFjjGgGUA6NLw09EwE0CqkOc4q9oUmW1yo/edit?usp=sharing"",""ตาก!L352"")"),462178)</f>
        <v>462178</v>
      </c>
      <c r="M457" s="165"/>
      <c r="N457" s="168">
        <f ca="1">IFERROR(__xludf.DUMMYFUNCTION("IMPORTRANGE(""https://docs.google.com/spreadsheets/d/11923uPwbBZFjjGgGUA6NLw09EwE0CqkOc4q9oUmW1yo/edit?usp=sharing"",""ตาก!M352"")"),72743)</f>
        <v>72743</v>
      </c>
      <c r="O457" s="168">
        <f t="shared" ca="1" si="116"/>
        <v>15.739174084443656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IFERROR(__xludf.DUMMYFUNCTION("IMPORTRANGE(""https://docs.google.com/spreadsheets/d/11923uPwbBZFjjGgGUA6NLw09EwE0CqkOc4q9oUmW1yo/edit?usp=sharing"",""ตาก!L353"")"),0)</f>
        <v>0</v>
      </c>
      <c r="M458" s="168"/>
      <c r="N458" s="168">
        <f ca="1">IFERROR(__xludf.DUMMYFUNCTION("IMPORTRANGE(""https://docs.google.com/spreadsheets/d/11923uPwbBZFjjGgGUA6NLw09EwE0CqkOc4q9oUmW1yo/edit?usp=sharing"",""ตาก!M353"")"),0)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IFERROR(__xludf.DUMMYFUNCTION("IMPORTRANGE(""https://docs.google.com/spreadsheets/d/11923uPwbBZFjjGgGUA6NLw09EwE0CqkOc4q9oUmW1yo/edit?usp=sharing"",""ตาก!L354"")"),462178)</f>
        <v>462178</v>
      </c>
      <c r="M459" s="168"/>
      <c r="N459" s="168">
        <f ca="1">IFERROR(__xludf.DUMMYFUNCTION("IMPORTRANGE(""https://docs.google.com/spreadsheets/d/11923uPwbBZFjjGgGUA6NLw09EwE0CqkOc4q9oUmW1yo/edit?usp=sharing"",""ตาก!M354"")"),72743)</f>
        <v>72743</v>
      </c>
      <c r="O459" s="168">
        <f t="shared" ca="1" si="116"/>
        <v>15.739174084443656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IFERROR(__xludf.DUMMYFUNCTION("IMPORTRANGE(""https://docs.google.com/spreadsheets/d/11923uPwbBZFjjGgGUA6NLw09EwE0CqkOc4q9oUmW1yo/edit?usp=sharing"",""ตาก!M355"")"),0)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IFERROR(__xludf.DUMMYFUNCTION("IMPORTRANGE(""https://docs.google.com/spreadsheets/d/11923uPwbBZFjjGgGUA6NLw09EwE0CqkOc4q9oUmW1yo/edit?usp=sharing"",""ตาก!M356"")"),0)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IFERROR(__xludf.DUMMYFUNCTION("IMPORTRANGE(""https://docs.google.com/spreadsheets/d/11923uPwbBZFjjGgGUA6NLw09EwE0CqkOc4q9oUmW1yo/edit?usp=sharing"",""ตาก!M357"")"),32266)</f>
        <v>32266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IFERROR(__xludf.DUMMYFUNCTION("IMPORTRANGE(""https://docs.google.com/spreadsheets/d/11923uPwbBZFjjGgGUA6NLw09EwE0CqkOc4q9oUmW1yo/edit?usp=sharing"",""ตาก!M358"")"),40477)</f>
        <v>40477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IFERROR(__xludf.DUMMYFUNCTION("IMPORTRANGE(""https://docs.google.com/spreadsheets/d/11923uPwbBZFjjGgGUA6NLw09EwE0CqkOc4q9oUmW1yo/edit?usp=sharing"",""ตาก!I359"")"),55356)</f>
        <v>55356</v>
      </c>
      <c r="J464" s="266">
        <f ca="1">IFERROR(__xludf.DUMMYFUNCTION("IMPORTRANGE(""https://docs.google.com/spreadsheets/d/11923uPwbBZFjjGgGUA6NLw09EwE0CqkOc4q9oUmW1yo/edit?usp=sharing"",""ตาก!J359"")"),0)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IFERROR(__xludf.DUMMYFUNCTION("IMPORTRANGE(""https://docs.google.com/spreadsheets/d/11923uPwbBZFjjGgGUA6NLw09EwE0CqkOc4q9oUmW1yo/edit?usp=sharing"",""ตาก!I360"")"),55356)</f>
        <v>55356</v>
      </c>
      <c r="J465" s="418">
        <f ca="1">IFERROR(__xludf.DUMMYFUNCTION("IMPORTRANGE(""https://docs.google.com/spreadsheets/d/11923uPwbBZFjjGgGUA6NLw09EwE0CqkOc4q9oUmW1yo/edit?usp=sharing"",""ตาก!J360"")"),55357)</f>
        <v>55357</v>
      </c>
      <c r="K465" s="201">
        <f t="shared" ca="1" si="117"/>
        <v>100.00180648890816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IFERROR(__xludf.DUMMYFUNCTION("IMPORTRANGE(""https://docs.google.com/spreadsheets/d/11923uPwbBZFjjGgGUA6NLw09EwE0CqkOc4q9oUmW1yo/edit?usp=sharing"",""ตาก!I361"")"),4506)</f>
        <v>4506</v>
      </c>
      <c r="J466" s="418">
        <f ca="1">IFERROR(__xludf.DUMMYFUNCTION("IMPORTRANGE(""https://docs.google.com/spreadsheets/d/11923uPwbBZFjjGgGUA6NLw09EwE0CqkOc4q9oUmW1yo/edit?usp=sharing"",""ตาก!J361"")"),4506)</f>
        <v>4506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IFERROR(__xludf.DUMMYFUNCTION("IMPORTRANGE(""https://docs.google.com/spreadsheets/d/11923uPwbBZFjjGgGUA6NLw09EwE0CqkOc4q9oUmW1yo/edit?usp=sharing"",""ตาก!I362"")"),0)</f>
        <v>0</v>
      </c>
      <c r="J467" s="188">
        <f ca="1">IFERROR(__xludf.DUMMYFUNCTION("IMPORTRANGE(""https://docs.google.com/spreadsheets/d/11923uPwbBZFjjGgGUA6NLw09EwE0CqkOc4q9oUmW1yo/edit?usp=sharing"",""ตาก!J362"")"),48668)</f>
        <v>48668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IFERROR(__xludf.DUMMYFUNCTION("IMPORTRANGE(""https://docs.google.com/spreadsheets/d/11923uPwbBZFjjGgGUA6NLw09EwE0CqkOc4q9oUmW1yo/edit?usp=sharing"",""ตาก!I363"")"),0)</f>
        <v>0</v>
      </c>
      <c r="J468" s="188">
        <f ca="1">IFERROR(__xludf.DUMMYFUNCTION("IMPORTRANGE(""https://docs.google.com/spreadsheets/d/11923uPwbBZFjjGgGUA6NLw09EwE0CqkOc4q9oUmW1yo/edit?usp=sharing"",""ตาก!J363"")"),4096)</f>
        <v>4096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IFERROR(__xludf.DUMMYFUNCTION("IMPORTRANGE(""https://docs.google.com/spreadsheets/d/11923uPwbBZFjjGgGUA6NLw09EwE0CqkOc4q9oUmW1yo/edit?usp=sharing"",""ตาก!I364"")"),0)</f>
        <v>0</v>
      </c>
      <c r="J469" s="188">
        <f ca="1">IFERROR(__xludf.DUMMYFUNCTION("IMPORTRANGE(""https://docs.google.com/spreadsheets/d/11923uPwbBZFjjGgGUA6NLw09EwE0CqkOc4q9oUmW1yo/edit?usp=sharing"",""ตาก!J364"")"),4889)</f>
        <v>4889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IFERROR(__xludf.DUMMYFUNCTION("IMPORTRANGE(""https://docs.google.com/spreadsheets/d/11923uPwbBZFjjGgGUA6NLw09EwE0CqkOc4q9oUmW1yo/edit?usp=sharing"",""ตาก!I365"")"),0)</f>
        <v>0</v>
      </c>
      <c r="J470" s="188">
        <f ca="1">IFERROR(__xludf.DUMMYFUNCTION("IMPORTRANGE(""https://docs.google.com/spreadsheets/d/11923uPwbBZFjjGgGUA6NLw09EwE0CqkOc4q9oUmW1yo/edit?usp=sharing"",""ตาก!J365"")"),302)</f>
        <v>302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IFERROR(__xludf.DUMMYFUNCTION("IMPORTRANGE(""https://docs.google.com/spreadsheets/d/11923uPwbBZFjjGgGUA6NLw09EwE0CqkOc4q9oUmW1yo/edit?usp=sharing"",""ตาก!I366"")"),0)</f>
        <v>0</v>
      </c>
      <c r="J471" s="188">
        <f ca="1">IFERROR(__xludf.DUMMYFUNCTION("IMPORTRANGE(""https://docs.google.com/spreadsheets/d/11923uPwbBZFjjGgGUA6NLw09EwE0CqkOc4q9oUmW1yo/edit?usp=sharing"",""ตาก!J366"")"),1800)</f>
        <v>1800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IFERROR(__xludf.DUMMYFUNCTION("IMPORTRANGE(""https://docs.google.com/spreadsheets/d/11923uPwbBZFjjGgGUA6NLw09EwE0CqkOc4q9oUmW1yo/edit?usp=sharing"",""ตาก!I367"")"),0)</f>
        <v>0</v>
      </c>
      <c r="J472" s="188">
        <f ca="1">IFERROR(__xludf.DUMMYFUNCTION("IMPORTRANGE(""https://docs.google.com/spreadsheets/d/11923uPwbBZFjjGgGUA6NLw09EwE0CqkOc4q9oUmW1yo/edit?usp=sharing"",""ตาก!J367"")"),108)</f>
        <v>108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IFERROR(__xludf.DUMMYFUNCTION("IMPORTRANGE(""https://docs.google.com/spreadsheets/d/11923uPwbBZFjjGgGUA6NLw09EwE0CqkOc4q9oUmW1yo/edit?usp=sharing"",""ตาก!I368"")"),55356)</f>
        <v>55356</v>
      </c>
      <c r="J473" s="418">
        <f ca="1">IFERROR(__xludf.DUMMYFUNCTION("IMPORTRANGE(""https://docs.google.com/spreadsheets/d/11923uPwbBZFjjGgGUA6NLw09EwE0CqkOc4q9oUmW1yo/edit?usp=sharing"",""ตาก!J368"")"),0)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IFERROR(__xludf.DUMMYFUNCTION("IMPORTRANGE(""https://docs.google.com/spreadsheets/d/11923uPwbBZFjjGgGUA6NLw09EwE0CqkOc4q9oUmW1yo/edit?usp=sharing"",""ตาก!I369"")"),4506)</f>
        <v>4506</v>
      </c>
      <c r="J474" s="418">
        <f ca="1">IFERROR(__xludf.DUMMYFUNCTION("IMPORTRANGE(""https://docs.google.com/spreadsheets/d/11923uPwbBZFjjGgGUA6NLw09EwE0CqkOc4q9oUmW1yo/edit?usp=sharing"",""ตาก!J369"")"),0)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IFERROR(__xludf.DUMMYFUNCTION("IMPORTRANGE(""https://docs.google.com/spreadsheets/d/11923uPwbBZFjjGgGUA6NLw09EwE0CqkOc4q9oUmW1yo/edit?usp=sharing"",""ตาก!I370"")"),0)</f>
        <v>0</v>
      </c>
      <c r="J475" s="188">
        <f ca="1">IFERROR(__xludf.DUMMYFUNCTION("IMPORTRANGE(""https://docs.google.com/spreadsheets/d/11923uPwbBZFjjGgGUA6NLw09EwE0CqkOc4q9oUmW1yo/edit?usp=sharing"",""ตาก!J370"")"),0)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IFERROR(__xludf.DUMMYFUNCTION("IMPORTRANGE(""https://docs.google.com/spreadsheets/d/11923uPwbBZFjjGgGUA6NLw09EwE0CqkOc4q9oUmW1yo/edit?usp=sharing"",""ตาก!I371"")"),0)</f>
        <v>0</v>
      </c>
      <c r="J476" s="188">
        <f ca="1">IFERROR(__xludf.DUMMYFUNCTION("IMPORTRANGE(""https://docs.google.com/spreadsheets/d/11923uPwbBZFjjGgGUA6NLw09EwE0CqkOc4q9oUmW1yo/edit?usp=sharing"",""ตาก!J371"")"),0)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IFERROR(__xludf.DUMMYFUNCTION("IMPORTRANGE(""https://docs.google.com/spreadsheets/d/11923uPwbBZFjjGgGUA6NLw09EwE0CqkOc4q9oUmW1yo/edit?usp=sharing"",""ตาก!I372"")"),0)</f>
        <v>0</v>
      </c>
      <c r="J477" s="188">
        <f ca="1">IFERROR(__xludf.DUMMYFUNCTION("IMPORTRANGE(""https://docs.google.com/spreadsheets/d/11923uPwbBZFjjGgGUA6NLw09EwE0CqkOc4q9oUmW1yo/edit?usp=sharing"",""ตาก!J372"")"),0)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IFERROR(__xludf.DUMMYFUNCTION("IMPORTRANGE(""https://docs.google.com/spreadsheets/d/11923uPwbBZFjjGgGUA6NLw09EwE0CqkOc4q9oUmW1yo/edit?usp=sharing"",""ตาก!I373"")"),0)</f>
        <v>0</v>
      </c>
      <c r="J478" s="188">
        <f ca="1">IFERROR(__xludf.DUMMYFUNCTION("IMPORTRANGE(""https://docs.google.com/spreadsheets/d/11923uPwbBZFjjGgGUA6NLw09EwE0CqkOc4q9oUmW1yo/edit?usp=sharing"",""ตาก!J373"")"),0)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IFERROR(__xludf.DUMMYFUNCTION("IMPORTRANGE(""https://docs.google.com/spreadsheets/d/11923uPwbBZFjjGgGUA6NLw09EwE0CqkOc4q9oUmW1yo/edit?usp=sharing"",""ตาก!I374"")"),0)</f>
        <v>0</v>
      </c>
      <c r="J479" s="188">
        <f ca="1">IFERROR(__xludf.DUMMYFUNCTION("IMPORTRANGE(""https://docs.google.com/spreadsheets/d/11923uPwbBZFjjGgGUA6NLw09EwE0CqkOc4q9oUmW1yo/edit?usp=sharing"",""ตาก!J374"")"),0)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IFERROR(__xludf.DUMMYFUNCTION("IMPORTRANGE(""https://docs.google.com/spreadsheets/d/11923uPwbBZFjjGgGUA6NLw09EwE0CqkOc4q9oUmW1yo/edit?usp=sharing"",""ตาก!I375"")"),0)</f>
        <v>0</v>
      </c>
      <c r="J480" s="188">
        <f ca="1">IFERROR(__xludf.DUMMYFUNCTION("IMPORTRANGE(""https://docs.google.com/spreadsheets/d/11923uPwbBZFjjGgGUA6NLw09EwE0CqkOc4q9oUmW1yo/edit?usp=sharing"",""ตาก!J375"")"),0)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IFERROR(__xludf.DUMMYFUNCTION("IMPORTRANGE(""https://docs.google.com/spreadsheets/d/11923uPwbBZFjjGgGUA6NLw09EwE0CqkOc4q9oUmW1yo/edit?usp=sharing"",""ตาก!I376"")"),55356)</f>
        <v>55356</v>
      </c>
      <c r="J481" s="418">
        <f ca="1">IFERROR(__xludf.DUMMYFUNCTION("IMPORTRANGE(""https://docs.google.com/spreadsheets/d/11923uPwbBZFjjGgGUA6NLw09EwE0CqkOc4q9oUmW1yo/edit?usp=sharing"",""ตาก!J376"")"),0)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IFERROR(__xludf.DUMMYFUNCTION("IMPORTRANGE(""https://docs.google.com/spreadsheets/d/11923uPwbBZFjjGgGUA6NLw09EwE0CqkOc4q9oUmW1yo/edit?usp=sharing"",""ตาก!I377"")"),4506)</f>
        <v>4506</v>
      </c>
      <c r="J482" s="418">
        <f ca="1">IFERROR(__xludf.DUMMYFUNCTION("IMPORTRANGE(""https://docs.google.com/spreadsheets/d/11923uPwbBZFjjGgGUA6NLw09EwE0CqkOc4q9oUmW1yo/edit?usp=sharing"",""ตาก!J377"")"),0)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IFERROR(__xludf.DUMMYFUNCTION("IMPORTRANGE(""https://docs.google.com/spreadsheets/d/11923uPwbBZFjjGgGUA6NLw09EwE0CqkOc4q9oUmW1yo/edit?usp=sharing"",""ตาก!I378"")"),0)</f>
        <v>0</v>
      </c>
      <c r="J483" s="188">
        <f ca="1">IFERROR(__xludf.DUMMYFUNCTION("IMPORTRANGE(""https://docs.google.com/spreadsheets/d/11923uPwbBZFjjGgGUA6NLw09EwE0CqkOc4q9oUmW1yo/edit?usp=sharing"",""ตาก!J378"")"),0)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IFERROR(__xludf.DUMMYFUNCTION("IMPORTRANGE(""https://docs.google.com/spreadsheets/d/11923uPwbBZFjjGgGUA6NLw09EwE0CqkOc4q9oUmW1yo/edit?usp=sharing"",""ตาก!I379"")"),0)</f>
        <v>0</v>
      </c>
      <c r="J484" s="188">
        <f ca="1">IFERROR(__xludf.DUMMYFUNCTION("IMPORTRANGE(""https://docs.google.com/spreadsheets/d/11923uPwbBZFjjGgGUA6NLw09EwE0CqkOc4q9oUmW1yo/edit?usp=sharing"",""ตาก!J379"")"),0)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IFERROR(__xludf.DUMMYFUNCTION("IMPORTRANGE(""https://docs.google.com/spreadsheets/d/11923uPwbBZFjjGgGUA6NLw09EwE0CqkOc4q9oUmW1yo/edit?usp=sharing"",""ตาก!I380"")"),0)</f>
        <v>0</v>
      </c>
      <c r="J485" s="188">
        <f ca="1">IFERROR(__xludf.DUMMYFUNCTION("IMPORTRANGE(""https://docs.google.com/spreadsheets/d/11923uPwbBZFjjGgGUA6NLw09EwE0CqkOc4q9oUmW1yo/edit?usp=sharing"",""ตาก!J380"")"),0)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IFERROR(__xludf.DUMMYFUNCTION("IMPORTRANGE(""https://docs.google.com/spreadsheets/d/11923uPwbBZFjjGgGUA6NLw09EwE0CqkOc4q9oUmW1yo/edit?usp=sharing"",""ตาก!I381"")"),0)</f>
        <v>0</v>
      </c>
      <c r="J486" s="188">
        <f ca="1">IFERROR(__xludf.DUMMYFUNCTION("IMPORTRANGE(""https://docs.google.com/spreadsheets/d/11923uPwbBZFjjGgGUA6NLw09EwE0CqkOc4q9oUmW1yo/edit?usp=sharing"",""ตาก!J381"")"),0)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IFERROR(__xludf.DUMMYFUNCTION("IMPORTRANGE(""https://docs.google.com/spreadsheets/d/11923uPwbBZFjjGgGUA6NLw09EwE0CqkOc4q9oUmW1yo/edit?usp=sharing"",""ตาก!I382"")"),0)</f>
        <v>0</v>
      </c>
      <c r="J487" s="418">
        <f ca="1">IFERROR(__xludf.DUMMYFUNCTION("IMPORTRANGE(""https://docs.google.com/spreadsheets/d/11923uPwbBZFjjGgGUA6NLw09EwE0CqkOc4q9oUmW1yo/edit?usp=sharing"",""ตาก!J382"")"),0)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IFERROR(__xludf.DUMMYFUNCTION("IMPORTRANGE(""https://docs.google.com/spreadsheets/d/11923uPwbBZFjjGgGUA6NLw09EwE0CqkOc4q9oUmW1yo/edit?usp=sharing"",""ตาก!I383"")"),0)</f>
        <v>0</v>
      </c>
      <c r="J488" s="418">
        <f ca="1">IFERROR(__xludf.DUMMYFUNCTION("IMPORTRANGE(""https://docs.google.com/spreadsheets/d/11923uPwbBZFjjGgGUA6NLw09EwE0CqkOc4q9oUmW1yo/edit?usp=sharing"",""ตาก!J383"")"),0)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IFERROR(__xludf.DUMMYFUNCTION("IMPORTRANGE(""https://docs.google.com/spreadsheets/d/11923uPwbBZFjjGgGUA6NLw09EwE0CqkOc4q9oUmW1yo/edit?usp=sharing"",""ตาก!I384"")"),0)</f>
        <v>0</v>
      </c>
      <c r="J489" s="188">
        <f ca="1">IFERROR(__xludf.DUMMYFUNCTION("IMPORTRANGE(""https://docs.google.com/spreadsheets/d/11923uPwbBZFjjGgGUA6NLw09EwE0CqkOc4q9oUmW1yo/edit?usp=sharing"",""ตาก!J384"")"),0)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IFERROR(__xludf.DUMMYFUNCTION("IMPORTRANGE(""https://docs.google.com/spreadsheets/d/11923uPwbBZFjjGgGUA6NLw09EwE0CqkOc4q9oUmW1yo/edit?usp=sharing"",""ตาก!I385"")"),0)</f>
        <v>0</v>
      </c>
      <c r="J490" s="188">
        <f ca="1">IFERROR(__xludf.DUMMYFUNCTION("IMPORTRANGE(""https://docs.google.com/spreadsheets/d/11923uPwbBZFjjGgGUA6NLw09EwE0CqkOc4q9oUmW1yo/edit?usp=sharing"",""ตาก!J385"")"),0)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IFERROR(__xludf.DUMMYFUNCTION("IMPORTRANGE(""https://docs.google.com/spreadsheets/d/11923uPwbBZFjjGgGUA6NLw09EwE0CqkOc4q9oUmW1yo/edit?usp=sharing"",""ตาก!I386"")"),0)</f>
        <v>0</v>
      </c>
      <c r="J491" s="188">
        <f ca="1">IFERROR(__xludf.DUMMYFUNCTION("IMPORTRANGE(""https://docs.google.com/spreadsheets/d/11923uPwbBZFjjGgGUA6NLw09EwE0CqkOc4q9oUmW1yo/edit?usp=sharing"",""ตาก!J386"")"),0)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IFERROR(__xludf.DUMMYFUNCTION("IMPORTRANGE(""https://docs.google.com/spreadsheets/d/11923uPwbBZFjjGgGUA6NLw09EwE0CqkOc4q9oUmW1yo/edit?usp=sharing"",""ตาก!I387"")"),0)</f>
        <v>0</v>
      </c>
      <c r="J492" s="188">
        <f ca="1">IFERROR(__xludf.DUMMYFUNCTION("IMPORTRANGE(""https://docs.google.com/spreadsheets/d/11923uPwbBZFjjGgGUA6NLw09EwE0CqkOc4q9oUmW1yo/edit?usp=sharing"",""ตาก!J387"")"),0)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IFERROR(__xludf.DUMMYFUNCTION("IMPORTRANGE(""https://docs.google.com/spreadsheets/d/11923uPwbBZFjjGgGUA6NLw09EwE0CqkOc4q9oUmW1yo/edit?usp=sharing"",""ตาก!I388"")"),0)</f>
        <v>0</v>
      </c>
      <c r="J493" s="188">
        <f ca="1">IFERROR(__xludf.DUMMYFUNCTION("IMPORTRANGE(""https://docs.google.com/spreadsheets/d/11923uPwbBZFjjGgGUA6NLw09EwE0CqkOc4q9oUmW1yo/edit?usp=sharing"",""ตาก!J388"")"),0)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IFERROR(__xludf.DUMMYFUNCTION("IMPORTRANGE(""https://docs.google.com/spreadsheets/d/11923uPwbBZFjjGgGUA6NLw09EwE0CqkOc4q9oUmW1yo/edit?usp=sharing"",""ตาก!I389"")"),0)</f>
        <v>0</v>
      </c>
      <c r="J494" s="434">
        <f ca="1">IFERROR(__xludf.DUMMYFUNCTION("IMPORTRANGE(""https://docs.google.com/spreadsheets/d/11923uPwbBZFjjGgGUA6NLw09EwE0CqkOc4q9oUmW1yo/edit?usp=sharing"",""ตาก!J389"")"),0)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IFERROR(__xludf.DUMMYFUNCTION("IMPORTRANGE(""https://docs.google.com/spreadsheets/d/11923uPwbBZFjjGgGUA6NLw09EwE0CqkOc4q9oUmW1yo/edit?usp=sharing"",""ตาก!I390"")"),0)</f>
        <v>0</v>
      </c>
      <c r="J495" s="434">
        <f ca="1">IFERROR(__xludf.DUMMYFUNCTION("IMPORTRANGE(""https://docs.google.com/spreadsheets/d/11923uPwbBZFjjGgGUA6NLw09EwE0CqkOc4q9oUmW1yo/edit?usp=sharing"",""ตาก!J390"")"),0)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IFERROR(__xludf.DUMMYFUNCTION("IMPORTRANGE(""https://docs.google.com/spreadsheets/d/11923uPwbBZFjjGgGUA6NLw09EwE0CqkOc4q9oUmW1yo/edit?usp=sharing"",""ตาก!I391"")"),0)</f>
        <v>0</v>
      </c>
      <c r="J496" s="434">
        <f ca="1">IFERROR(__xludf.DUMMYFUNCTION("IMPORTRANGE(""https://docs.google.com/spreadsheets/d/11923uPwbBZFjjGgGUA6NLw09EwE0CqkOc4q9oUmW1yo/edit?usp=sharing"",""ตาก!J391"")"),0)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IFERROR(__xludf.DUMMYFUNCTION("IMPORTRANGE(""https://docs.google.com/spreadsheets/d/11923uPwbBZFjjGgGUA6NLw09EwE0CqkOc4q9oUmW1yo/edit?usp=sharing"",""ตาก!I392"")"),156)</f>
        <v>156</v>
      </c>
      <c r="J497" s="441">
        <f ca="1">IFERROR(__xludf.DUMMYFUNCTION("IMPORTRANGE(""https://docs.google.com/spreadsheets/d/11923uPwbBZFjjGgGUA6NLw09EwE0CqkOc4q9oUmW1yo/edit?usp=sharing"",""ตาก!J392"")"),0)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IFERROR(__xludf.DUMMYFUNCTION("IMPORTRANGE(""https://docs.google.com/spreadsheets/d/11923uPwbBZFjjGgGUA6NLw09EwE0CqkOc4q9oUmW1yo/edit?usp=sharing"",""ตาก!I393"")"),156)</f>
        <v>156</v>
      </c>
      <c r="J498" s="418">
        <f ca="1">IFERROR(__xludf.DUMMYFUNCTION("IMPORTRANGE(""https://docs.google.com/spreadsheets/d/11923uPwbBZFjjGgGUA6NLw09EwE0CqkOc4q9oUmW1yo/edit?usp=sharing"",""ตาก!J393"")"),0)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IFERROR(__xludf.DUMMYFUNCTION("IMPORTRANGE(""https://docs.google.com/spreadsheets/d/11923uPwbBZFjjGgGUA6NLw09EwE0CqkOc4q9oUmW1yo/edit?usp=sharing"",""ตาก!I394"")"),28)</f>
        <v>28</v>
      </c>
      <c r="J499" s="418">
        <f ca="1">IFERROR(__xludf.DUMMYFUNCTION("IMPORTRANGE(""https://docs.google.com/spreadsheets/d/11923uPwbBZFjjGgGUA6NLw09EwE0CqkOc4q9oUmW1yo/edit?usp=sharing"",""ตาก!J394"")"),0)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IFERROR(__xludf.DUMMYFUNCTION("IMPORTRANGE(""https://docs.google.com/spreadsheets/d/11923uPwbBZFjjGgGUA6NLw09EwE0CqkOc4q9oUmW1yo/edit?usp=sharing"",""ตาก!I395"")"),0)</f>
        <v>0</v>
      </c>
      <c r="J500" s="162">
        <f ca="1">IFERROR(__xludf.DUMMYFUNCTION("IMPORTRANGE(""https://docs.google.com/spreadsheets/d/11923uPwbBZFjjGgGUA6NLw09EwE0CqkOc4q9oUmW1yo/edit?usp=sharing"",""ตาก!J395"")"),0)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IFERROR(__xludf.DUMMYFUNCTION("IMPORTRANGE(""https://docs.google.com/spreadsheets/d/11923uPwbBZFjjGgGUA6NLw09EwE0CqkOc4q9oUmW1yo/edit?usp=sharing"",""ตาก!I396"")"),0)</f>
        <v>0</v>
      </c>
      <c r="J501" s="162">
        <f ca="1">IFERROR(__xludf.DUMMYFUNCTION("IMPORTRANGE(""https://docs.google.com/spreadsheets/d/11923uPwbBZFjjGgGUA6NLw09EwE0CqkOc4q9oUmW1yo/edit?usp=sharing"",""ตาก!J396"")"),0)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IFERROR(__xludf.DUMMYFUNCTION("IMPORTRANGE(""https://docs.google.com/spreadsheets/d/11923uPwbBZFjjGgGUA6NLw09EwE0CqkOc4q9oUmW1yo/edit?usp=sharing"",""ตาก!I397"")"),0)</f>
        <v>0</v>
      </c>
      <c r="J502" s="188">
        <f ca="1">IFERROR(__xludf.DUMMYFUNCTION("IMPORTRANGE(""https://docs.google.com/spreadsheets/d/11923uPwbBZFjjGgGUA6NLw09EwE0CqkOc4q9oUmW1yo/edit?usp=sharing"",""ตาก!J397"")"),0)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IFERROR(__xludf.DUMMYFUNCTION("IMPORTRANGE(""https://docs.google.com/spreadsheets/d/11923uPwbBZFjjGgGUA6NLw09EwE0CqkOc4q9oUmW1yo/edit?usp=sharing"",""ตาก!I398"")"),0)</f>
        <v>0</v>
      </c>
      <c r="J503" s="197">
        <f ca="1">IFERROR(__xludf.DUMMYFUNCTION("IMPORTRANGE(""https://docs.google.com/spreadsheets/d/11923uPwbBZFjjGgGUA6NLw09EwE0CqkOc4q9oUmW1yo/edit?usp=sharing"",""ตาก!J398"")"),0)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IFERROR(__xludf.DUMMYFUNCTION("IMPORTRANGE(""https://docs.google.com/spreadsheets/d/11923uPwbBZFjjGgGUA6NLw09EwE0CqkOc4q9oUmW1yo/edit?usp=sharing"",""ตาก!I399"")"),0)</f>
        <v>0</v>
      </c>
      <c r="J504" s="188">
        <f ca="1">IFERROR(__xludf.DUMMYFUNCTION("IMPORTRANGE(""https://docs.google.com/spreadsheets/d/11923uPwbBZFjjGgGUA6NLw09EwE0CqkOc4q9oUmW1yo/edit?usp=sharing"",""ตาก!J399"")"),0)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IFERROR(__xludf.DUMMYFUNCTION("IMPORTRANGE(""https://docs.google.com/spreadsheets/d/11923uPwbBZFjjGgGUA6NLw09EwE0CqkOc4q9oUmW1yo/edit?usp=sharing"",""ตาก!I400"")"),0)</f>
        <v>0</v>
      </c>
      <c r="J505" s="197">
        <f ca="1">IFERROR(__xludf.DUMMYFUNCTION("IMPORTRANGE(""https://docs.google.com/spreadsheets/d/11923uPwbBZFjjGgGUA6NLw09EwE0CqkOc4q9oUmW1yo/edit?usp=sharing"",""ตาก!J400"")"),0)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IFERROR(__xludf.DUMMYFUNCTION("IMPORTRANGE(""https://docs.google.com/spreadsheets/d/11923uPwbBZFjjGgGUA6NLw09EwE0CqkOc4q9oUmW1yo/edit?usp=sharing"",""ตาก!I401"")"),0)</f>
        <v>0</v>
      </c>
      <c r="J506" s="188">
        <f ca="1">IFERROR(__xludf.DUMMYFUNCTION("IMPORTRANGE(""https://docs.google.com/spreadsheets/d/11923uPwbBZFjjGgGUA6NLw09EwE0CqkOc4q9oUmW1yo/edit?usp=sharing"",""ตาก!J401"")"),0)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IFERROR(__xludf.DUMMYFUNCTION("IMPORTRANGE(""https://docs.google.com/spreadsheets/d/11923uPwbBZFjjGgGUA6NLw09EwE0CqkOc4q9oUmW1yo/edit?usp=sharing"",""ตาก!I402"")"),0)</f>
        <v>0</v>
      </c>
      <c r="J507" s="197">
        <f ca="1">IFERROR(__xludf.DUMMYFUNCTION("IMPORTRANGE(""https://docs.google.com/spreadsheets/d/11923uPwbBZFjjGgGUA6NLw09EwE0CqkOc4q9oUmW1yo/edit?usp=sharing"",""ตาก!J402"")"),0)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IFERROR(__xludf.DUMMYFUNCTION("IMPORTRANGE(""https://docs.google.com/spreadsheets/d/11923uPwbBZFjjGgGUA6NLw09EwE0CqkOc4q9oUmW1yo/edit?usp=sharing"",""ตาก!I403"")"),0)</f>
        <v>0</v>
      </c>
      <c r="J508" s="162">
        <f ca="1">IFERROR(__xludf.DUMMYFUNCTION("IMPORTRANGE(""https://docs.google.com/spreadsheets/d/11923uPwbBZFjjGgGUA6NLw09EwE0CqkOc4q9oUmW1yo/edit?usp=sharing"",""ตาก!J403"")"),0)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IFERROR(__xludf.DUMMYFUNCTION("IMPORTRANGE(""https://docs.google.com/spreadsheets/d/11923uPwbBZFjjGgGUA6NLw09EwE0CqkOc4q9oUmW1yo/edit?usp=sharing"",""ตาก!I404"")"),0)</f>
        <v>0</v>
      </c>
      <c r="J509" s="162">
        <f ca="1">IFERROR(__xludf.DUMMYFUNCTION("IMPORTRANGE(""https://docs.google.com/spreadsheets/d/11923uPwbBZFjjGgGUA6NLw09EwE0CqkOc4q9oUmW1yo/edit?usp=sharing"",""ตาก!J404"")"),0)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IFERROR(__xludf.DUMMYFUNCTION("IMPORTRANGE(""https://docs.google.com/spreadsheets/d/11923uPwbBZFjjGgGUA6NLw09EwE0CqkOc4q9oUmW1yo/edit?usp=sharing"",""ตาก!I405"")"),0)</f>
        <v>0</v>
      </c>
      <c r="J510" s="197">
        <f ca="1">IFERROR(__xludf.DUMMYFUNCTION("IMPORTRANGE(""https://docs.google.com/spreadsheets/d/11923uPwbBZFjjGgGUA6NLw09EwE0CqkOc4q9oUmW1yo/edit?usp=sharing"",""ตาก!J405"")"),0)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IFERROR(__xludf.DUMMYFUNCTION("IMPORTRANGE(""https://docs.google.com/spreadsheets/d/11923uPwbBZFjjGgGUA6NLw09EwE0CqkOc4q9oUmW1yo/edit?usp=sharing"",""ตาก!I406"")"),0)</f>
        <v>0</v>
      </c>
      <c r="J511" s="197">
        <f ca="1">IFERROR(__xludf.DUMMYFUNCTION("IMPORTRANGE(""https://docs.google.com/spreadsheets/d/11923uPwbBZFjjGgGUA6NLw09EwE0CqkOc4q9oUmW1yo/edit?usp=sharing"",""ตาก!J406"")"),0)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IFERROR(__xludf.DUMMYFUNCTION("IMPORTRANGE(""https://docs.google.com/spreadsheets/d/11923uPwbBZFjjGgGUA6NLw09EwE0CqkOc4q9oUmW1yo/edit?usp=sharing"",""ตาก!I407"")"),0)</f>
        <v>0</v>
      </c>
      <c r="J512" s="197">
        <f ca="1">IFERROR(__xludf.DUMMYFUNCTION("IMPORTRANGE(""https://docs.google.com/spreadsheets/d/11923uPwbBZFjjGgGUA6NLw09EwE0CqkOc4q9oUmW1yo/edit?usp=sharing"",""ตาก!J407"")"),0)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IFERROR(__xludf.DUMMYFUNCTION("IMPORTRANGE(""https://docs.google.com/spreadsheets/d/11923uPwbBZFjjGgGUA6NLw09EwE0CqkOc4q9oUmW1yo/edit?usp=sharing"",""ตาก!I408"")"),0)</f>
        <v>0</v>
      </c>
      <c r="J513" s="197">
        <f ca="1">IFERROR(__xludf.DUMMYFUNCTION("IMPORTRANGE(""https://docs.google.com/spreadsheets/d/11923uPwbBZFjjGgGUA6NLw09EwE0CqkOc4q9oUmW1yo/edit?usp=sharing"",""ตาก!J408"")"),0)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IFERROR(__xludf.DUMMYFUNCTION("IMPORTRANGE(""https://docs.google.com/spreadsheets/d/11923uPwbBZFjjGgGUA6NLw09EwE0CqkOc4q9oUmW1yo/edit?usp=sharing"",""ตาก!I409"")"),0)</f>
        <v>0</v>
      </c>
      <c r="J514" s="197">
        <f ca="1">IFERROR(__xludf.DUMMYFUNCTION("IMPORTRANGE(""https://docs.google.com/spreadsheets/d/11923uPwbBZFjjGgGUA6NLw09EwE0CqkOc4q9oUmW1yo/edit?usp=sharing"",""ตาก!J409"")"),0)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IFERROR(__xludf.DUMMYFUNCTION("IMPORTRANGE(""https://docs.google.com/spreadsheets/d/11923uPwbBZFjjGgGUA6NLw09EwE0CqkOc4q9oUmW1yo/edit?usp=sharing"",""ตาก!I410"")"),0)</f>
        <v>0</v>
      </c>
      <c r="J515" s="197">
        <f ca="1">IFERROR(__xludf.DUMMYFUNCTION("IMPORTRANGE(""https://docs.google.com/spreadsheets/d/11923uPwbBZFjjGgGUA6NLw09EwE0CqkOc4q9oUmW1yo/edit?usp=sharing"",""ตาก!J410"")"),0)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IFERROR(__xludf.DUMMYFUNCTION("IMPORTRANGE(""https://docs.google.com/spreadsheets/d/11923uPwbBZFjjGgGUA6NLw09EwE0CqkOc4q9oUmW1yo/edit?usp=sharing"",""ตาก!I411"")"),0)</f>
        <v>0</v>
      </c>
      <c r="J516" s="266">
        <f ca="1">IFERROR(__xludf.DUMMYFUNCTION("IMPORTRANGE(""https://docs.google.com/spreadsheets/d/11923uPwbBZFjjGgGUA6NLw09EwE0CqkOc4q9oUmW1yo/edit?usp=sharing"",""ตาก!J411"")"),0)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IFERROR(__xludf.DUMMYFUNCTION("IMPORTRANGE(""https://docs.google.com/spreadsheets/d/11923uPwbBZFjjGgGUA6NLw09EwE0CqkOc4q9oUmW1yo/edit?usp=sharing"",""ตาก!I412"")"),0)</f>
        <v>0</v>
      </c>
      <c r="J517" s="282">
        <f ca="1">IFERROR(__xludf.DUMMYFUNCTION("IMPORTRANGE(""https://docs.google.com/spreadsheets/d/11923uPwbBZFjjGgGUA6NLw09EwE0CqkOc4q9oUmW1yo/edit?usp=sharing"",""ตาก!J412"")"),0)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IFERROR(__xludf.DUMMYFUNCTION("IMPORTRANGE(""https://docs.google.com/spreadsheets/d/11923uPwbBZFjjGgGUA6NLw09EwE0CqkOc4q9oUmW1yo/edit?usp=sharing"",""ตาก!I413"")"),0)</f>
        <v>0</v>
      </c>
      <c r="J518" s="282">
        <f ca="1">IFERROR(__xludf.DUMMYFUNCTION("IMPORTRANGE(""https://docs.google.com/spreadsheets/d/11923uPwbBZFjjGgGUA6NLw09EwE0CqkOc4q9oUmW1yo/edit?usp=sharing"",""ตาก!J413"")"),0)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IFERROR(__xludf.DUMMYFUNCTION("IMPORTRANGE(""https://docs.google.com/spreadsheets/d/11923uPwbBZFjjGgGUA6NLw09EwE0CqkOc4q9oUmW1yo/edit?usp=sharing"",""ตาก!I414"")"),0)</f>
        <v>0</v>
      </c>
      <c r="J519" s="187">
        <f ca="1">IFERROR(__xludf.DUMMYFUNCTION("IMPORTRANGE(""https://docs.google.com/spreadsheets/d/11923uPwbBZFjjGgGUA6NLw09EwE0CqkOc4q9oUmW1yo/edit?usp=sharing"",""ตาก!J414"")"),0)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IFERROR(__xludf.DUMMYFUNCTION("IMPORTRANGE(""https://docs.google.com/spreadsheets/d/11923uPwbBZFjjGgGUA6NLw09EwE0CqkOc4q9oUmW1yo/edit?usp=sharing"",""ตาก!I415"")"),0)</f>
        <v>0</v>
      </c>
      <c r="J520" s="187">
        <f ca="1">IFERROR(__xludf.DUMMYFUNCTION("IMPORTRANGE(""https://docs.google.com/spreadsheets/d/11923uPwbBZFjjGgGUA6NLw09EwE0CqkOc4q9oUmW1yo/edit?usp=sharing"",""ตาก!J415"")"),0)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IFERROR(__xludf.DUMMYFUNCTION("IMPORTRANGE(""https://docs.google.com/spreadsheets/d/11923uPwbBZFjjGgGUA6NLw09EwE0CqkOc4q9oUmW1yo/edit?usp=sharing"",""ตาก!I416"")"),0)</f>
        <v>0</v>
      </c>
      <c r="J521" s="187">
        <f ca="1">IFERROR(__xludf.DUMMYFUNCTION("IMPORTRANGE(""https://docs.google.com/spreadsheets/d/11923uPwbBZFjjGgGUA6NLw09EwE0CqkOc4q9oUmW1yo/edit?usp=sharing"",""ตาก!J416"")"),0)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IFERROR(__xludf.DUMMYFUNCTION("IMPORTRANGE(""https://docs.google.com/spreadsheets/d/11923uPwbBZFjjGgGUA6NLw09EwE0CqkOc4q9oUmW1yo/edit?usp=sharing"",""ตาก!I417"")"),0)</f>
        <v>0</v>
      </c>
      <c r="J522" s="187">
        <f ca="1">IFERROR(__xludf.DUMMYFUNCTION("IMPORTRANGE(""https://docs.google.com/spreadsheets/d/11923uPwbBZFjjGgGUA6NLw09EwE0CqkOc4q9oUmW1yo/edit?usp=sharing"",""ตาก!J417"")"),0)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IFERROR(__xludf.DUMMYFUNCTION("IMPORTRANGE(""https://docs.google.com/spreadsheets/d/11923uPwbBZFjjGgGUA6NLw09EwE0CqkOc4q9oUmW1yo/edit?usp=sharing"",""ตาก!I418"")"),0)</f>
        <v>0</v>
      </c>
      <c r="J523" s="187">
        <f ca="1">IFERROR(__xludf.DUMMYFUNCTION("IMPORTRANGE(""https://docs.google.com/spreadsheets/d/11923uPwbBZFjjGgGUA6NLw09EwE0CqkOc4q9oUmW1yo/edit?usp=sharing"",""ตาก!J418"")"),112)</f>
        <v>112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IFERROR(__xludf.DUMMYFUNCTION("IMPORTRANGE(""https://docs.google.com/spreadsheets/d/11923uPwbBZFjjGgGUA6NLw09EwE0CqkOc4q9oUmW1yo/edit?usp=sharing"",""ตาก!I419"")"),0)</f>
        <v>0</v>
      </c>
      <c r="J524" s="187">
        <f ca="1">IFERROR(__xludf.DUMMYFUNCTION("IMPORTRANGE(""https://docs.google.com/spreadsheets/d/11923uPwbBZFjjGgGUA6NLw09EwE0CqkOc4q9oUmW1yo/edit?usp=sharing"",""ตาก!J419"")"),3)</f>
        <v>3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IFERROR(__xludf.DUMMYFUNCTION("IMPORTRANGE(""https://docs.google.com/spreadsheets/d/11923uPwbBZFjjGgGUA6NLw09EwE0CqkOc4q9oUmW1yo/edit?usp=sharing"",""ตาก!I420"")"),112)</f>
        <v>112</v>
      </c>
      <c r="J525" s="282">
        <f ca="1">IFERROR(__xludf.DUMMYFUNCTION("IMPORTRANGE(""https://docs.google.com/spreadsheets/d/11923uPwbBZFjjGgGUA6NLw09EwE0CqkOc4q9oUmW1yo/edit?usp=sharing"",""ตาก!J420"")"),0)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IFERROR(__xludf.DUMMYFUNCTION("IMPORTRANGE(""https://docs.google.com/spreadsheets/d/11923uPwbBZFjjGgGUA6NLw09EwE0CqkOc4q9oUmW1yo/edit?usp=sharing"",""ตาก!I421"")"),3)</f>
        <v>3</v>
      </c>
      <c r="J526" s="282">
        <f ca="1">IFERROR(__xludf.DUMMYFUNCTION("IMPORTRANGE(""https://docs.google.com/spreadsheets/d/11923uPwbBZFjjGgGUA6NLw09EwE0CqkOc4q9oUmW1yo/edit?usp=sharing"",""ตาก!J421"")"),0)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IFERROR(__xludf.DUMMYFUNCTION("IMPORTRANGE(""https://docs.google.com/spreadsheets/d/11923uPwbBZFjjGgGUA6NLw09EwE0CqkOc4q9oUmW1yo/edit?usp=sharing"",""ตาก!I422"")"),0)</f>
        <v>0</v>
      </c>
      <c r="J527" s="197">
        <f ca="1">IFERROR(__xludf.DUMMYFUNCTION("IMPORTRANGE(""https://docs.google.com/spreadsheets/d/11923uPwbBZFjjGgGUA6NLw09EwE0CqkOc4q9oUmW1yo/edit?usp=sharing"",""ตาก!J422"")"),0)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IFERROR(__xludf.DUMMYFUNCTION("IMPORTRANGE(""https://docs.google.com/spreadsheets/d/11923uPwbBZFjjGgGUA6NLw09EwE0CqkOc4q9oUmW1yo/edit?usp=sharing"",""ตาก!I423"")"),0)</f>
        <v>0</v>
      </c>
      <c r="J528" s="197">
        <f ca="1">IFERROR(__xludf.DUMMYFUNCTION("IMPORTRANGE(""https://docs.google.com/spreadsheets/d/11923uPwbBZFjjGgGUA6NLw09EwE0CqkOc4q9oUmW1yo/edit?usp=sharing"",""ตาก!J423"")"),0)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IFERROR(__xludf.DUMMYFUNCTION("IMPORTRANGE(""https://docs.google.com/spreadsheets/d/11923uPwbBZFjjGgGUA6NLw09EwE0CqkOc4q9oUmW1yo/edit?usp=sharing"",""ตาก!I424"")"),0)</f>
        <v>0</v>
      </c>
      <c r="J529" s="197">
        <f ca="1">IFERROR(__xludf.DUMMYFUNCTION("IMPORTRANGE(""https://docs.google.com/spreadsheets/d/11923uPwbBZFjjGgGUA6NLw09EwE0CqkOc4q9oUmW1yo/edit?usp=sharing"",""ตาก!J424"")"),0)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IFERROR(__xludf.DUMMYFUNCTION("IMPORTRANGE(""https://docs.google.com/spreadsheets/d/11923uPwbBZFjjGgGUA6NLw09EwE0CqkOc4q9oUmW1yo/edit?usp=sharing"",""ตาก!I425"")"),0)</f>
        <v>0</v>
      </c>
      <c r="J530" s="197">
        <f ca="1">IFERROR(__xludf.DUMMYFUNCTION("IMPORTRANGE(""https://docs.google.com/spreadsheets/d/11923uPwbBZFjjGgGUA6NLw09EwE0CqkOc4q9oUmW1yo/edit?usp=sharing"",""ตาก!J425"")"),0)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IFERROR(__xludf.DUMMYFUNCTION("IMPORTRANGE(""https://docs.google.com/spreadsheets/d/11923uPwbBZFjjGgGUA6NLw09EwE0CqkOc4q9oUmW1yo/edit?usp=sharing"",""ตาก!I426"")"),0)</f>
        <v>0</v>
      </c>
      <c r="J531" s="197">
        <f ca="1">IFERROR(__xludf.DUMMYFUNCTION("IMPORTRANGE(""https://docs.google.com/spreadsheets/d/11923uPwbBZFjjGgGUA6NLw09EwE0CqkOc4q9oUmW1yo/edit?usp=sharing"",""ตาก!J426"")"),0)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IFERROR(__xludf.DUMMYFUNCTION("IMPORTRANGE(""https://docs.google.com/spreadsheets/d/11923uPwbBZFjjGgGUA6NLw09EwE0CqkOc4q9oUmW1yo/edit?usp=sharing"",""ตาก!I427"")"),0)</f>
        <v>0</v>
      </c>
      <c r="J532" s="464">
        <f ca="1">IFERROR(__xludf.DUMMYFUNCTION("IMPORTRANGE(""https://docs.google.com/spreadsheets/d/11923uPwbBZFjjGgGUA6NLw09EwE0CqkOc4q9oUmW1yo/edit?usp=sharing"",""ตาก!J427"")"),0)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IFERROR(__xludf.DUMMYFUNCTION("IMPORTRANGE(""https://docs.google.com/spreadsheets/d/11923uPwbBZFjjGgGUA6NLw09EwE0CqkOc4q9oUmW1yo/edit?usp=sharing"",""ตาก!I428"")"),22)</f>
        <v>22</v>
      </c>
      <c r="J533" s="408">
        <f ca="1">IFERROR(__xludf.DUMMYFUNCTION("IMPORTRANGE(""https://docs.google.com/spreadsheets/d/11923uPwbBZFjjGgGUA6NLw09EwE0CqkOc4q9oUmW1yo/edit?usp=sharing"",""ตาก!J428"")"),22)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IFERROR(__xludf.DUMMYFUNCTION("IMPORTRANGE(""https://docs.google.com/spreadsheets/d/11923uPwbBZFjjGgGUA6NLw09EwE0CqkOc4q9oUmW1yo/edit?usp=sharing"",""ตาก!L428"")"),34340)</f>
        <v>34340</v>
      </c>
      <c r="M533" s="410"/>
      <c r="N533" s="410">
        <f ca="1">IFERROR(__xludf.DUMMYFUNCTION("IMPORTRANGE(""https://docs.google.com/spreadsheets/d/11923uPwbBZFjjGgGUA6NLw09EwE0CqkOc4q9oUmW1yo/edit?usp=sharing"",""ตาก!M428"")"),18740)</f>
        <v>18740</v>
      </c>
      <c r="O533" s="410">
        <f t="shared" ref="O533:O537" ca="1" si="118">+IF(L533&gt;0,N533*100/L533,0)</f>
        <v>54.571927781013393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IFERROR(__xludf.DUMMYFUNCTION("IMPORTRANGE(""https://docs.google.com/spreadsheets/d/11923uPwbBZFjjGgGUA6NLw09EwE0CqkOc4q9oUmW1yo/edit?usp=sharing"",""ตาก!L429"")"),0)</f>
        <v>0</v>
      </c>
      <c r="M534" s="164"/>
      <c r="N534" s="168">
        <f ca="1">IFERROR(__xludf.DUMMYFUNCTION("IMPORTRANGE(""https://docs.google.com/spreadsheets/d/11923uPwbBZFjjGgGUA6NLw09EwE0CqkOc4q9oUmW1yo/edit?usp=sharing"",""ตาก!M429"")"),0)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IFERROR(__xludf.DUMMYFUNCTION("IMPORTRANGE(""https://docs.google.com/spreadsheets/d/11923uPwbBZFjjGgGUA6NLw09EwE0CqkOc4q9oUmW1yo/edit?usp=sharing"",""ตาก!L430"")"),34340)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IFERROR(__xludf.DUMMYFUNCTION("IMPORTRANGE(""https://docs.google.com/spreadsheets/d/11923uPwbBZFjjGgGUA6NLw09EwE0CqkOc4q9oUmW1yo/edit?usp=sharing"",""ตาก!M430"")"),18740)</f>
        <v>18740</v>
      </c>
      <c r="O535" s="168">
        <f t="shared" ca="1" si="118"/>
        <v>54.571927781013393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IFERROR(__xludf.DUMMYFUNCTION("IMPORTRANGE(""https://docs.google.com/spreadsheets/d/11923uPwbBZFjjGgGUA6NLw09EwE0CqkOc4q9oUmW1yo/edit?usp=sharing"",""ตาก!L431"")"),0)</f>
        <v>0</v>
      </c>
      <c r="M536" s="168"/>
      <c r="N536" s="168">
        <f ca="1">IFERROR(__xludf.DUMMYFUNCTION("IMPORTRANGE(""https://docs.google.com/spreadsheets/d/11923uPwbBZFjjGgGUA6NLw09EwE0CqkOc4q9oUmW1yo/edit?usp=sharing"",""ตาก!M431"")"),0)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IFERROR(__xludf.DUMMYFUNCTION("IMPORTRANGE(""https://docs.google.com/spreadsheets/d/11923uPwbBZFjjGgGUA6NLw09EwE0CqkOc4q9oUmW1yo/edit?usp=sharing"",""ตาก!L432"")"),34340)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IFERROR(__xludf.DUMMYFUNCTION("IMPORTRANGE(""https://docs.google.com/spreadsheets/d/11923uPwbBZFjjGgGUA6NLw09EwE0CqkOc4q9oUmW1yo/edit?usp=sharing"",""ตาก!M432"")"),18740)</f>
        <v>18740</v>
      </c>
      <c r="O537" s="168">
        <f t="shared" ca="1" si="118"/>
        <v>54.571927781013393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IFERROR(__xludf.DUMMYFUNCTION("IMPORTRANGE(""https://docs.google.com/spreadsheets/d/11923uPwbBZFjjGgGUA6NLw09EwE0CqkOc4q9oUmW1yo/edit?usp=sharing"",""ตาก!M433"")"),18740)</f>
        <v>18740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IFERROR(__xludf.DUMMYFUNCTION("IMPORTRANGE(""https://docs.google.com/spreadsheets/d/11923uPwbBZFjjGgGUA6NLw09EwE0CqkOc4q9oUmW1yo/edit?usp=sharing"",""ตาก!M434"")"),0)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IFERROR(__xludf.DUMMYFUNCTION("IMPORTRANGE(""https://docs.google.com/spreadsheets/d/11923uPwbBZFjjGgGUA6NLw09EwE0CqkOc4q9oUmW1yo/edit?usp=sharing"",""ตาก!M435"")"),0)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IFERROR(__xludf.DUMMYFUNCTION("IMPORTRANGE(""https://docs.google.com/spreadsheets/d/11923uPwbBZFjjGgGUA6NLw09EwE0CqkOc4q9oUmW1yo/edit?usp=sharing"",""ตาก!M436"")"),0)</f>
        <v>0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IFERROR(__xludf.DUMMYFUNCTION("IMPORTRANGE(""https://docs.google.com/spreadsheets/d/11923uPwbBZFjjGgGUA6NLw09EwE0CqkOc4q9oUmW1yo/edit?usp=sharing"",""ตาก!J438"")"),0)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IFERROR(__xludf.DUMMYFUNCTION("IMPORTRANGE(""https://docs.google.com/spreadsheets/d/11923uPwbBZFjjGgGUA6NLw09EwE0CqkOc4q9oUmW1yo/edit?usp=sharing"",""ตาก!J439"")"),1)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IFERROR(__xludf.DUMMYFUNCTION("IMPORTRANGE(""https://docs.google.com/spreadsheets/d/11923uPwbBZFjjGgGUA6NLw09EwE0CqkOc4q9oUmW1yo/edit?usp=sharing"",""ตาก!J440"")"),1)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IFERROR(__xludf.DUMMYFUNCTION("IMPORTRANGE(""https://docs.google.com/spreadsheets/d/11923uPwbBZFjjGgGUA6NLw09EwE0CqkOc4q9oUmW1yo/edit?usp=sharing"",""ตาก!J441"")"),1)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IFERROR(__xludf.DUMMYFUNCTION("IMPORTRANGE(""https://docs.google.com/spreadsheets/d/11923uPwbBZFjjGgGUA6NLw09EwE0CqkOc4q9oUmW1yo/edit?usp=sharing"",""ตาก!I442"")"),22)</f>
        <v>22</v>
      </c>
      <c r="J547" s="188">
        <f ca="1">IFERROR(__xludf.DUMMYFUNCTION("IMPORTRANGE(""https://docs.google.com/spreadsheets/d/11923uPwbBZFjjGgGUA6NLw09EwE0CqkOc4q9oUmW1yo/edit?usp=sharing"",""ตาก!J442"")"),22)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IFERROR(__xludf.DUMMYFUNCTION("IMPORTRANGE(""https://docs.google.com/spreadsheets/d/11923uPwbBZFjjGgGUA6NLw09EwE0CqkOc4q9oUmW1yo/edit?usp=sharing"",""ตาก!J166"")"),0)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IFERROR(__xludf.DUMMYFUNCTION("IMPORTRANGE(""https://docs.google.com/spreadsheets/d/11923uPwbBZFjjGgGUA6NLw09EwE0CqkOc4q9oUmW1yo/edit?usp=sharing"",""ตาก!J444"")"),0)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IFERROR(__xludf.DUMMYFUNCTION("IMPORTRANGE(""https://docs.google.com/spreadsheets/d/11923uPwbBZFjjGgGUA6NLw09EwE0CqkOc4q9oUmW1yo/edit?usp=sharing"",""ตาก!J445"")"),0)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IFERROR(__xludf.DUMMYFUNCTION("IMPORTRANGE(""https://docs.google.com/spreadsheets/d/11923uPwbBZFjjGgGUA6NLw09EwE0CqkOc4q9oUmW1yo/edit?usp=sharing"",""ตาก!I446"")"),0)</f>
        <v>0</v>
      </c>
      <c r="J551" s="408">
        <f ca="1">IFERROR(__xludf.DUMMYFUNCTION("IMPORTRANGE(""https://docs.google.com/spreadsheets/d/11923uPwbBZFjjGgGUA6NLw09EwE0CqkOc4q9oUmW1yo/edit?usp=sharing"",""ตาก!J446"")"),0)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IFERROR(__xludf.DUMMYFUNCTION("IMPORTRANGE(""https://docs.google.com/spreadsheets/d/11923uPwbBZFjjGgGUA6NLw09EwE0CqkOc4q9oUmW1yo/edit?usp=sharing"",""ตาก!L446"")"),0)</f>
        <v>0</v>
      </c>
      <c r="M551" s="410"/>
      <c r="N551" s="410">
        <f ca="1">IFERROR(__xludf.DUMMYFUNCTION("IMPORTRANGE(""https://docs.google.com/spreadsheets/d/11923uPwbBZFjjGgGUA6NLw09EwE0CqkOc4q9oUmW1yo/edit?usp=sharing"",""ตาก!M446"")"),0)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IFERROR(__xludf.DUMMYFUNCTION("IMPORTRANGE(""https://docs.google.com/spreadsheets/d/11923uPwbBZFjjGgGUA6NLw09EwE0CqkOc4q9oUmW1yo/edit?usp=sharing"",""ตาก!L447"")"),0)</f>
        <v>0</v>
      </c>
      <c r="M552" s="164"/>
      <c r="N552" s="168">
        <f ca="1">IFERROR(__xludf.DUMMYFUNCTION("IMPORTRANGE(""https://docs.google.com/spreadsheets/d/11923uPwbBZFjjGgGUA6NLw09EwE0CqkOc4q9oUmW1yo/edit?usp=sharing"",""ตาก!M447"")"),0)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IFERROR(__xludf.DUMMYFUNCTION("IMPORTRANGE(""https://docs.google.com/spreadsheets/d/11923uPwbBZFjjGgGUA6NLw09EwE0CqkOc4q9oUmW1yo/edit?usp=sharing"",""ตาก!L448"")"),0)</f>
        <v>0</v>
      </c>
      <c r="M553" s="165"/>
      <c r="N553" s="168">
        <f ca="1">IFERROR(__xludf.DUMMYFUNCTION("IMPORTRANGE(""https://docs.google.com/spreadsheets/d/11923uPwbBZFjjGgGUA6NLw09EwE0CqkOc4q9oUmW1yo/edit?usp=sharing"",""ตาก!M448"")"),0)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IFERROR(__xludf.DUMMYFUNCTION("IMPORTRANGE(""https://docs.google.com/spreadsheets/d/11923uPwbBZFjjGgGUA6NLw09EwE0CqkOc4q9oUmW1yo/edit?usp=sharing"",""ตาก!L449"")"),0)</f>
        <v>0</v>
      </c>
      <c r="M554" s="168"/>
      <c r="N554" s="168">
        <f ca="1">IFERROR(__xludf.DUMMYFUNCTION("IMPORTRANGE(""https://docs.google.com/spreadsheets/d/11923uPwbBZFjjGgGUA6NLw09EwE0CqkOc4q9oUmW1yo/edit?usp=sharing"",""ตาก!M449"")"),0)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IFERROR(__xludf.DUMMYFUNCTION("IMPORTRANGE(""https://docs.google.com/spreadsheets/d/11923uPwbBZFjjGgGUA6NLw09EwE0CqkOc4q9oUmW1yo/edit?usp=sharing"",""ตาก!L450"")"),0)</f>
        <v>0</v>
      </c>
      <c r="M555" s="168"/>
      <c r="N555" s="168">
        <f ca="1">IFERROR(__xludf.DUMMYFUNCTION("IMPORTRANGE(""https://docs.google.com/spreadsheets/d/11923uPwbBZFjjGgGUA6NLw09EwE0CqkOc4q9oUmW1yo/edit?usp=sharing"",""ตาก!M450"")"),0)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IFERROR(__xludf.DUMMYFUNCTION("IMPORTRANGE(""https://docs.google.com/spreadsheets/d/11923uPwbBZFjjGgGUA6NLw09EwE0CqkOc4q9oUmW1yo/edit?usp=sharing"",""ตาก!M451"")"),0)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IFERROR(__xludf.DUMMYFUNCTION("IMPORTRANGE(""https://docs.google.com/spreadsheets/d/11923uPwbBZFjjGgGUA6NLw09EwE0CqkOc4q9oUmW1yo/edit?usp=sharing"",""ตาก!M452"")"),0)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IFERROR(__xludf.DUMMYFUNCTION("IMPORTRANGE(""https://docs.google.com/spreadsheets/d/11923uPwbBZFjjGgGUA6NLw09EwE0CqkOc4q9oUmW1yo/edit?usp=sharing"",""ตาก!M453"")"),0)</f>
        <v>0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IFERROR(__xludf.DUMMYFUNCTION("IMPORTRANGE(""https://docs.google.com/spreadsheets/d/11923uPwbBZFjjGgGUA6NLw09EwE0CqkOc4q9oUmW1yo/edit?usp=sharing"",""ตาก!M454"")"),0)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IFERROR(__xludf.DUMMYFUNCTION("IMPORTRANGE(""https://docs.google.com/spreadsheets/d/11923uPwbBZFjjGgGUA6NLw09EwE0CqkOc4q9oUmW1yo/edit?usp=sharing"",""ตาก!I455"")"),0)</f>
        <v>0</v>
      </c>
      <c r="J560" s="162">
        <f ca="1">IFERROR(__xludf.DUMMYFUNCTION("IMPORTRANGE(""https://docs.google.com/spreadsheets/d/11923uPwbBZFjjGgGUA6NLw09EwE0CqkOc4q9oUmW1yo/edit?usp=sharing"",""ตาก!J455"")"),0)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IFERROR(__xludf.DUMMYFUNCTION("IMPORTRANGE(""https://docs.google.com/spreadsheets/d/11923uPwbBZFjjGgGUA6NLw09EwE0CqkOc4q9oUmW1yo/edit?usp=sharing"",""ตาก!I456"")"),0)</f>
        <v>0</v>
      </c>
      <c r="J561" s="203">
        <f ca="1">IFERROR(__xludf.DUMMYFUNCTION("IMPORTRANGE(""https://docs.google.com/spreadsheets/d/11923uPwbBZFjjGgGUA6NLw09EwE0CqkOc4q9oUmW1yo/edit?usp=sharing"",""ตาก!J456"")"),0)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f ca="1">IFERROR(__xludf.DUMMYFUNCTION("IMPORTRANGE(""https://docs.google.com/spreadsheets/d/11923uPwbBZFjjGgGUA6NLw09EwE0CqkOc4q9oUmW1yo/edit?usp=sharing"",""ตาก!I457"")"),0)</f>
        <v>0</v>
      </c>
      <c r="J562" s="203" t="str">
        <f ca="1">IFERROR(__xludf.DUMMYFUNCTION("IMPORTRANGE(""https://docs.google.com/spreadsheets/d/11923uPwbBZFjjGgGUA6NLw09EwE0CqkOc4q9oUmW1yo/edit?usp=sharing"",""ตาก!J457"")"),"")</f>
        <v/>
      </c>
      <c r="K562" s="163">
        <f t="shared" ca="1" si="121"/>
        <v>0</v>
      </c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f ca="1">IFERROR(__xludf.DUMMYFUNCTION("IMPORTRANGE(""https://docs.google.com/spreadsheets/d/11923uPwbBZFjjGgGUA6NLw09EwE0CqkOc4q9oUmW1yo/edit?usp=sharing"",""ตาก!I458"")"),0)</f>
        <v>0</v>
      </c>
      <c r="J563" s="187" t="str">
        <f ca="1">IFERROR(__xludf.DUMMYFUNCTION("IMPORTRANGE(""https://docs.google.com/spreadsheets/d/11923uPwbBZFjjGgGUA6NLw09EwE0CqkOc4q9oUmW1yo/edit?usp=sharing"",""ตาก!J458"")"),"")</f>
        <v/>
      </c>
      <c r="K563" s="163">
        <f t="shared" ca="1" si="121"/>
        <v>0</v>
      </c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IFERROR(__xludf.DUMMYFUNCTION("IMPORTRANGE(""https://docs.google.com/spreadsheets/d/11923uPwbBZFjjGgGUA6NLw09EwE0CqkOc4q9oUmW1yo/edit?usp=sharing"",""ตาก!I459"")"),1300)</f>
        <v>1300</v>
      </c>
      <c r="J564" s="369">
        <f ca="1">IFERROR(__xludf.DUMMYFUNCTION("IMPORTRANGE(""https://docs.google.com/spreadsheets/d/11923uPwbBZFjjGgGUA6NLw09EwE0CqkOc4q9oUmW1yo/edit?usp=sharing"",""ตาก!J459"")"),858)</f>
        <v>858</v>
      </c>
      <c r="K564" s="370">
        <f t="shared" ca="1" si="121"/>
        <v>66</v>
      </c>
      <c r="L564" s="371">
        <f ca="1">IFERROR(__xludf.DUMMYFUNCTION("IMPORTRANGE(""https://docs.google.com/spreadsheets/d/11923uPwbBZFjjGgGUA6NLw09EwE0CqkOc4q9oUmW1yo/edit?usp=sharing"",""ตาก!L459"")"),128080)</f>
        <v>128080</v>
      </c>
      <c r="M564" s="371"/>
      <c r="N564" s="371">
        <f ca="1">IFERROR(__xludf.DUMMYFUNCTION("IMPORTRANGE(""https://docs.google.com/spreadsheets/d/11923uPwbBZFjjGgGUA6NLw09EwE0CqkOc4q9oUmW1yo/edit?usp=sharing"",""ตาก!M459"")"),37095)</f>
        <v>37095</v>
      </c>
      <c r="O564" s="371">
        <f t="shared" ref="O564:O568" ca="1" si="122">+IF(L564&gt;0,N564*100/L564,0)</f>
        <v>28.962367270455964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IFERROR(__xludf.DUMMYFUNCTION("IMPORTRANGE(""https://docs.google.com/spreadsheets/d/11923uPwbBZFjjGgGUA6NLw09EwE0CqkOc4q9oUmW1yo/edit?usp=sharing"",""ตาก!L460"")"),0)</f>
        <v>0</v>
      </c>
      <c r="M565" s="164"/>
      <c r="N565" s="168">
        <f ca="1">IFERROR(__xludf.DUMMYFUNCTION("IMPORTRANGE(""https://docs.google.com/spreadsheets/d/11923uPwbBZFjjGgGUA6NLw09EwE0CqkOc4q9oUmW1yo/edit?usp=sharing"",""ตาก!M460"")"),0)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IFERROR(__xludf.DUMMYFUNCTION("IMPORTRANGE(""https://docs.google.com/spreadsheets/d/11923uPwbBZFjjGgGUA6NLw09EwE0CqkOc4q9oUmW1yo/edit?usp=sharing"",""ตาก!L461"")"),128080)</f>
        <v>128080</v>
      </c>
      <c r="M566" s="165"/>
      <c r="N566" s="168">
        <f ca="1">IFERROR(__xludf.DUMMYFUNCTION("IMPORTRANGE(""https://docs.google.com/spreadsheets/d/11923uPwbBZFjjGgGUA6NLw09EwE0CqkOc4q9oUmW1yo/edit?usp=sharing"",""ตาก!M461"")"),37095)</f>
        <v>37095</v>
      </c>
      <c r="O566" s="168">
        <f t="shared" ca="1" si="122"/>
        <v>28.962367270455964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IFERROR(__xludf.DUMMYFUNCTION("IMPORTRANGE(""https://docs.google.com/spreadsheets/d/11923uPwbBZFjjGgGUA6NLw09EwE0CqkOc4q9oUmW1yo/edit?usp=sharing"",""ตาก!L462"")"),0)</f>
        <v>0</v>
      </c>
      <c r="M567" s="168"/>
      <c r="N567" s="168">
        <f ca="1">IFERROR(__xludf.DUMMYFUNCTION("IMPORTRANGE(""https://docs.google.com/spreadsheets/d/11923uPwbBZFjjGgGUA6NLw09EwE0CqkOc4q9oUmW1yo/edit?usp=sharing"",""ตาก!M462"")"),0)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IFERROR(__xludf.DUMMYFUNCTION("IMPORTRANGE(""https://docs.google.com/spreadsheets/d/11923uPwbBZFjjGgGUA6NLw09EwE0CqkOc4q9oUmW1yo/edit?usp=sharing"",""ตาก!L463"")"),128080)</f>
        <v>128080</v>
      </c>
      <c r="M568" s="168"/>
      <c r="N568" s="168">
        <f ca="1">IFERROR(__xludf.DUMMYFUNCTION("IMPORTRANGE(""https://docs.google.com/spreadsheets/d/11923uPwbBZFjjGgGUA6NLw09EwE0CqkOc4q9oUmW1yo/edit?usp=sharing"",""ตาก!M463"")"),37095)</f>
        <v>37095</v>
      </c>
      <c r="O568" s="168">
        <f t="shared" ca="1" si="122"/>
        <v>28.962367270455964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IFERROR(__xludf.DUMMYFUNCTION("IMPORTRANGE(""https://docs.google.com/spreadsheets/d/11923uPwbBZFjjGgGUA6NLw09EwE0CqkOc4q9oUmW1yo/edit?usp=sharing"",""ตาก!M464"")"),0)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IFERROR(__xludf.DUMMYFUNCTION("IMPORTRANGE(""https://docs.google.com/spreadsheets/d/11923uPwbBZFjjGgGUA6NLw09EwE0CqkOc4q9oUmW1yo/edit?usp=sharing"",""ตาก!M465"")"),0)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IFERROR(__xludf.DUMMYFUNCTION("IMPORTRANGE(""https://docs.google.com/spreadsheets/d/11923uPwbBZFjjGgGUA6NLw09EwE0CqkOc4q9oUmW1yo/edit?usp=sharing"",""ตาก!M466"")"),9935)</f>
        <v>9935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IFERROR(__xludf.DUMMYFUNCTION("IMPORTRANGE(""https://docs.google.com/spreadsheets/d/11923uPwbBZFjjGgGUA6NLw09EwE0CqkOc4q9oUmW1yo/edit?usp=sharing"",""ตาก!M467"")"),27160)</f>
        <v>27160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IFERROR(__xludf.DUMMYFUNCTION("IMPORTRANGE(""https://docs.google.com/spreadsheets/d/11923uPwbBZFjjGgGUA6NLw09EwE0CqkOc4q9oUmW1yo/edit?usp=sharing"",""ตาก!I468"")"),1300)</f>
        <v>1300</v>
      </c>
      <c r="J573" s="418">
        <f ca="1">IFERROR(__xludf.DUMMYFUNCTION("IMPORTRANGE(""https://docs.google.com/spreadsheets/d/11923uPwbBZFjjGgGUA6NLw09EwE0CqkOc4q9oUmW1yo/edit?usp=sharing"",""ตาก!J468"")"),858)</f>
        <v>858</v>
      </c>
      <c r="K573" s="201">
        <f ca="1">IF(I573&gt;0,J573*100/I573,0)</f>
        <v>66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IFERROR(__xludf.DUMMYFUNCTION("IMPORTRANGE(""https://docs.google.com/spreadsheets/d/11923uPwbBZFjjGgGUA6NLw09EwE0CqkOc4q9oUmW1yo/edit?usp=sharing"",""ตาก!I470"")"),0)</f>
        <v>0</v>
      </c>
      <c r="J575" s="197">
        <f ca="1">IFERROR(__xludf.DUMMYFUNCTION("IMPORTRANGE(""https://docs.google.com/spreadsheets/d/11923uPwbBZFjjGgGUA6NLw09EwE0CqkOc4q9oUmW1yo/edit?usp=sharing"",""ตาก!J470"")"),4)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IFERROR(__xludf.DUMMYFUNCTION("IMPORTRANGE(""https://docs.google.com/spreadsheets/d/11923uPwbBZFjjGgGUA6NLw09EwE0CqkOc4q9oUmW1yo/edit?usp=sharing"",""ตาก!I471"")"),0)</f>
        <v>0</v>
      </c>
      <c r="J576" s="197">
        <f ca="1">IFERROR(__xludf.DUMMYFUNCTION("IMPORTRANGE(""https://docs.google.com/spreadsheets/d/11923uPwbBZFjjGgGUA6NLw09EwE0CqkOc4q9oUmW1yo/edit?usp=sharing"",""ตาก!J471"")"),386)</f>
        <v>386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IFERROR(__xludf.DUMMYFUNCTION("IMPORTRANGE(""https://docs.google.com/spreadsheets/d/11923uPwbBZFjjGgGUA6NLw09EwE0CqkOc4q9oUmW1yo/edit?usp=sharing"",""ตาก!I472"")"),0)</f>
        <v>0</v>
      </c>
      <c r="J577" s="188">
        <f ca="1">IFERROR(__xludf.DUMMYFUNCTION("IMPORTRANGE(""https://docs.google.com/spreadsheets/d/11923uPwbBZFjjGgGUA6NLw09EwE0CqkOc4q9oUmW1yo/edit?usp=sharing"",""ตาก!J472"")"),472)</f>
        <v>472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IFERROR(__xludf.DUMMYFUNCTION("IMPORTRANGE(""https://docs.google.com/spreadsheets/d/11923uPwbBZFjjGgGUA6NLw09EwE0CqkOc4q9oUmW1yo/edit?usp=sharing"",""ตาก!I473"")"),0)</f>
        <v>0</v>
      </c>
      <c r="J578" s="197">
        <f ca="1">IFERROR(__xludf.DUMMYFUNCTION("IMPORTRANGE(""https://docs.google.com/spreadsheets/d/11923uPwbBZFjjGgGUA6NLw09EwE0CqkOc4q9oUmW1yo/edit?usp=sharing"",""ตาก!J473"")"),0)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IFERROR(__xludf.DUMMYFUNCTION("IMPORTRANGE(""https://docs.google.com/spreadsheets/d/11923uPwbBZFjjGgGUA6NLw09EwE0CqkOc4q9oUmW1yo/edit?usp=sharing"",""ตาก!I474"")"),0)</f>
        <v>0</v>
      </c>
      <c r="J579" s="197">
        <f ca="1">IFERROR(__xludf.DUMMYFUNCTION("IMPORTRANGE(""https://docs.google.com/spreadsheets/d/11923uPwbBZFjjGgGUA6NLw09EwE0CqkOc4q9oUmW1yo/edit?usp=sharing"",""ตาก!J474"")"),0)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IFERROR(__xludf.DUMMYFUNCTION("IMPORTRANGE(""https://docs.google.com/spreadsheets/d/11923uPwbBZFjjGgGUA6NLw09EwE0CqkOc4q9oUmW1yo/edit?usp=sharing"",""ตาก!I475"")"),220)</f>
        <v>220</v>
      </c>
      <c r="J580" s="369">
        <f ca="1">IFERROR(__xludf.DUMMYFUNCTION("IMPORTRANGE(""https://docs.google.com/spreadsheets/d/11923uPwbBZFjjGgGUA6NLw09EwE0CqkOc4q9oUmW1yo/edit?usp=sharing"",""ตาก!J475"")"),0)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IFERROR(__xludf.DUMMYFUNCTION("IMPORTRANGE(""https://docs.google.com/spreadsheets/d/11923uPwbBZFjjGgGUA6NLw09EwE0CqkOc4q9oUmW1yo/edit?usp=sharing"",""ตาก!L475"")"),370020)</f>
        <v>370020</v>
      </c>
      <c r="M580" s="371"/>
      <c r="N580" s="371">
        <f ca="1">IFERROR(__xludf.DUMMYFUNCTION("IMPORTRANGE(""https://docs.google.com/spreadsheets/d/11923uPwbBZFjjGgGUA6NLw09EwE0CqkOc4q9oUmW1yo/edit?usp=sharing"",""ตาก!M475"")"),42056)</f>
        <v>42056</v>
      </c>
      <c r="O580" s="371">
        <f t="shared" ref="O580:O584" ca="1" si="124">+IF(L580&gt;0,N580*100/L580,0)</f>
        <v>11.36587211502081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IFERROR(__xludf.DUMMYFUNCTION("IMPORTRANGE(""https://docs.google.com/spreadsheets/d/11923uPwbBZFjjGgGUA6NLw09EwE0CqkOc4q9oUmW1yo/edit?usp=sharing"",""ตาก!L476"")"),0)</f>
        <v>0</v>
      </c>
      <c r="M581" s="164"/>
      <c r="N581" s="168">
        <f ca="1">IFERROR(__xludf.DUMMYFUNCTION("IMPORTRANGE(""https://docs.google.com/spreadsheets/d/11923uPwbBZFjjGgGUA6NLw09EwE0CqkOc4q9oUmW1yo/edit?usp=sharing"",""ตาก!M476"")"),0)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IFERROR(__xludf.DUMMYFUNCTION("IMPORTRANGE(""https://docs.google.com/spreadsheets/d/11923uPwbBZFjjGgGUA6NLw09EwE0CqkOc4q9oUmW1yo/edit?usp=sharing"",""ตาก!L477"")"),370020)</f>
        <v>370020</v>
      </c>
      <c r="M582" s="165"/>
      <c r="N582" s="168">
        <f ca="1">IFERROR(__xludf.DUMMYFUNCTION("IMPORTRANGE(""https://docs.google.com/spreadsheets/d/11923uPwbBZFjjGgGUA6NLw09EwE0CqkOc4q9oUmW1yo/edit?usp=sharing"",""ตาก!M477"")"),42056)</f>
        <v>42056</v>
      </c>
      <c r="O582" s="168">
        <f t="shared" ca="1" si="124"/>
        <v>11.36587211502081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IFERROR(__xludf.DUMMYFUNCTION("IMPORTRANGE(""https://docs.google.com/spreadsheets/d/11923uPwbBZFjjGgGUA6NLw09EwE0CqkOc4q9oUmW1yo/edit?usp=sharing"",""ตาก!L478"")"),0)</f>
        <v>0</v>
      </c>
      <c r="M583" s="168"/>
      <c r="N583" s="168">
        <f ca="1">IFERROR(__xludf.DUMMYFUNCTION("IMPORTRANGE(""https://docs.google.com/spreadsheets/d/11923uPwbBZFjjGgGUA6NLw09EwE0CqkOc4q9oUmW1yo/edit?usp=sharing"",""ตาก!M478"")"),0)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IFERROR(__xludf.DUMMYFUNCTION("IMPORTRANGE(""https://docs.google.com/spreadsheets/d/11923uPwbBZFjjGgGUA6NLw09EwE0CqkOc4q9oUmW1yo/edit?usp=sharing"",""ตาก!L479"")"),370020)</f>
        <v>370020</v>
      </c>
      <c r="M584" s="168"/>
      <c r="N584" s="168">
        <f ca="1">IFERROR(__xludf.DUMMYFUNCTION("IMPORTRANGE(""https://docs.google.com/spreadsheets/d/11923uPwbBZFjjGgGUA6NLw09EwE0CqkOc4q9oUmW1yo/edit?usp=sharing"",""ตาก!M479"")"),42056)</f>
        <v>42056</v>
      </c>
      <c r="O584" s="168">
        <f t="shared" ca="1" si="124"/>
        <v>11.36587211502081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IFERROR(__xludf.DUMMYFUNCTION("IMPORTRANGE(""https://docs.google.com/spreadsheets/d/11923uPwbBZFjjGgGUA6NLw09EwE0CqkOc4q9oUmW1yo/edit?usp=sharing"",""ตาก!M480"")"),0)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IFERROR(__xludf.DUMMYFUNCTION("IMPORTRANGE(""https://docs.google.com/spreadsheets/d/11923uPwbBZFjjGgGUA6NLw09EwE0CqkOc4q9oUmW1yo/edit?usp=sharing"",""ตาก!M481"")"),0)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IFERROR(__xludf.DUMMYFUNCTION("IMPORTRANGE(""https://docs.google.com/spreadsheets/d/11923uPwbBZFjjGgGUA6NLw09EwE0CqkOc4q9oUmW1yo/edit?usp=sharing"",""ตาก!M482"")"),32266)</f>
        <v>32266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IFERROR(__xludf.DUMMYFUNCTION("IMPORTRANGE(""https://docs.google.com/spreadsheets/d/11923uPwbBZFjjGgGUA6NLw09EwE0CqkOc4q9oUmW1yo/edit?usp=sharing"",""ตาก!M483"")"),9790)</f>
        <v>9790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IFERROR(__xludf.DUMMYFUNCTION("IMPORTRANGE(""https://docs.google.com/spreadsheets/d/11923uPwbBZFjjGgGUA6NLw09EwE0CqkOc4q9oUmW1yo/edit?usp=sharing"",""ตาก!I484"")"),220)</f>
        <v>220</v>
      </c>
      <c r="J589" s="187">
        <f ca="1">IFERROR(__xludf.DUMMYFUNCTION("IMPORTRANGE(""https://docs.google.com/spreadsheets/d/11923uPwbBZFjjGgGUA6NLw09EwE0CqkOc4q9oUmW1yo/edit?usp=sharing"",""ตาก!J484"")"),0)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IFERROR(__xludf.DUMMYFUNCTION("IMPORTRANGE(""https://docs.google.com/spreadsheets/d/11923uPwbBZFjjGgGUA6NLw09EwE0CqkOc4q9oUmW1yo/edit?usp=sharing"",""ตาก!I485"")"),0)</f>
        <v>0</v>
      </c>
      <c r="J590" s="187">
        <f ca="1">IFERROR(__xludf.DUMMYFUNCTION("IMPORTRANGE(""https://docs.google.com/spreadsheets/d/11923uPwbBZFjjGgGUA6NLw09EwE0CqkOc4q9oUmW1yo/edit?usp=sharing"",""ตาก!J485"")"),0)</f>
        <v>0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IFERROR(__xludf.DUMMYFUNCTION("IMPORTRANGE(""https://docs.google.com/spreadsheets/d/11923uPwbBZFjjGgGUA6NLw09EwE0CqkOc4q9oUmW1yo/edit?usp=sharing"",""ตาก!I486"")"),220)</f>
        <v>220</v>
      </c>
      <c r="J591" s="187">
        <f ca="1">IFERROR(__xludf.DUMMYFUNCTION("IMPORTRANGE(""https://docs.google.com/spreadsheets/d/11923uPwbBZFjjGgGUA6NLw09EwE0CqkOc4q9oUmW1yo/edit?usp=sharing"",""ตาก!J486"")"),0)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IFERROR(__xludf.DUMMYFUNCTION("IMPORTRANGE(""https://docs.google.com/spreadsheets/d/11923uPwbBZFjjGgGUA6NLw09EwE0CqkOc4q9oUmW1yo/edit?usp=sharing"",""ตาก!I487"")"),0)</f>
        <v>0</v>
      </c>
      <c r="J592" s="187">
        <f ca="1">IFERROR(__xludf.DUMMYFUNCTION("IMPORTRANGE(""https://docs.google.com/spreadsheets/d/11923uPwbBZFjjGgGUA6NLw09EwE0CqkOc4q9oUmW1yo/edit?usp=sharing"",""ตาก!J487"")"),0)</f>
        <v>0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IFERROR(__xludf.DUMMYFUNCTION("IMPORTRANGE(""https://docs.google.com/spreadsheets/d/11923uPwbBZFjjGgGUA6NLw09EwE0CqkOc4q9oUmW1yo/edit?usp=sharing"",""ตาก!I488"")"),220)</f>
        <v>220</v>
      </c>
      <c r="J593" s="187">
        <f ca="1">IFERROR(__xludf.DUMMYFUNCTION("IMPORTRANGE(""https://docs.google.com/spreadsheets/d/11923uPwbBZFjjGgGUA6NLw09EwE0CqkOc4q9oUmW1yo/edit?usp=sharing"",""ตาก!J488"")"),0)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IFERROR(__xludf.DUMMYFUNCTION("IMPORTRANGE(""https://docs.google.com/spreadsheets/d/11923uPwbBZFjjGgGUA6NLw09EwE0CqkOc4q9oUmW1yo/edit?usp=sharing"",""ตาก!I489"")"),0)</f>
        <v>0</v>
      </c>
      <c r="J594" s="187">
        <f ca="1">IFERROR(__xludf.DUMMYFUNCTION("IMPORTRANGE(""https://docs.google.com/spreadsheets/d/11923uPwbBZFjjGgGUA6NLw09EwE0CqkOc4q9oUmW1yo/edit?usp=sharing"",""ตาก!J489"")"),0)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IFERROR(__xludf.DUMMYFUNCTION("IMPORTRANGE(""https://docs.google.com/spreadsheets/d/11923uPwbBZFjjGgGUA6NLw09EwE0CqkOc4q9oUmW1yo/edit?usp=sharing"",""ตาก!I490"")"),220)</f>
        <v>220</v>
      </c>
      <c r="J595" s="187">
        <f ca="1">IFERROR(__xludf.DUMMYFUNCTION("IMPORTRANGE(""https://docs.google.com/spreadsheets/d/11923uPwbBZFjjGgGUA6NLw09EwE0CqkOc4q9oUmW1yo/edit?usp=sharing"",""ตาก!J490"")"),0)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IFERROR(__xludf.DUMMYFUNCTION("IMPORTRANGE(""https://docs.google.com/spreadsheets/d/11923uPwbBZFjjGgGUA6NLw09EwE0CqkOc4q9oUmW1yo/edit?usp=sharing"",""ตาก!I491"")"),0)</f>
        <v>0</v>
      </c>
      <c r="J596" s="240">
        <f ca="1">IFERROR(__xludf.DUMMYFUNCTION("IMPORTRANGE(""https://docs.google.com/spreadsheets/d/11923uPwbBZFjjGgGUA6NLw09EwE0CqkOc4q9oUmW1yo/edit?usp=sharing"",""ตาก!J491"")"),0)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IFERROR(__xludf.DUMMYFUNCTION("IMPORTRANGE(""https://docs.google.com/spreadsheets/d/11923uPwbBZFjjGgGUA6NLw09EwE0CqkOc4q9oUmW1yo/edit?usp=sharing"",""ตาก!I492"")"),100)</f>
        <v>100</v>
      </c>
      <c r="J597" s="485">
        <f ca="1">IFERROR(__xludf.DUMMYFUNCTION("IMPORTRANGE(""https://docs.google.com/spreadsheets/d/11923uPwbBZFjjGgGUA6NLw09EwE0CqkOc4q9oUmW1yo/edit?usp=sharing"",""ตาก!J492"")"),0)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IFERROR(__xludf.DUMMYFUNCTION("IMPORTRANGE(""https://docs.google.com/spreadsheets/d/11923uPwbBZFjjGgGUA6NLw09EwE0CqkOc4q9oUmW1yo/edit?usp=sharing"",""ตาก!L492"")"),8100)</f>
        <v>8100</v>
      </c>
      <c r="M597" s="410"/>
      <c r="N597" s="410">
        <f ca="1">IFERROR(__xludf.DUMMYFUNCTION("IMPORTRANGE(""https://docs.google.com/spreadsheets/d/11923uPwbBZFjjGgGUA6NLw09EwE0CqkOc4q9oUmW1yo/edit?usp=sharing"",""ตาก!M492"")"),800)</f>
        <v>800</v>
      </c>
      <c r="O597" s="410">
        <f t="shared" ref="O597:O601" ca="1" si="126">+IF(L597&gt;0,N597*100/L597,0)</f>
        <v>9.8765432098765427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IFERROR(__xludf.DUMMYFUNCTION("IMPORTRANGE(""https://docs.google.com/spreadsheets/d/11923uPwbBZFjjGgGUA6NLw09EwE0CqkOc4q9oUmW1yo/edit?usp=sharing"",""ตาก!L493"")"),0)</f>
        <v>0</v>
      </c>
      <c r="M598" s="164"/>
      <c r="N598" s="168">
        <f ca="1">IFERROR(__xludf.DUMMYFUNCTION("IMPORTRANGE(""https://docs.google.com/spreadsheets/d/11923uPwbBZFjjGgGUA6NLw09EwE0CqkOc4q9oUmW1yo/edit?usp=sharing"",""ตาก!M493"")"),0)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IFERROR(__xludf.DUMMYFUNCTION("IMPORTRANGE(""https://docs.google.com/spreadsheets/d/11923uPwbBZFjjGgGUA6NLw09EwE0CqkOc4q9oUmW1yo/edit?usp=sharing"",""ตาก!L494"")"),8100)</f>
        <v>8100</v>
      </c>
      <c r="M599" s="165"/>
      <c r="N599" s="168">
        <f ca="1">IFERROR(__xludf.DUMMYFUNCTION("IMPORTRANGE(""https://docs.google.com/spreadsheets/d/11923uPwbBZFjjGgGUA6NLw09EwE0CqkOc4q9oUmW1yo/edit?usp=sharing"",""ตาก!M494"")"),800)</f>
        <v>800</v>
      </c>
      <c r="O599" s="168">
        <f t="shared" ca="1" si="126"/>
        <v>9.8765432098765427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IFERROR(__xludf.DUMMYFUNCTION("IMPORTRANGE(""https://docs.google.com/spreadsheets/d/11923uPwbBZFjjGgGUA6NLw09EwE0CqkOc4q9oUmW1yo/edit?usp=sharing"",""ตาก!L495"")"),0)</f>
        <v>0</v>
      </c>
      <c r="M600" s="168"/>
      <c r="N600" s="168">
        <f ca="1">IFERROR(__xludf.DUMMYFUNCTION("IMPORTRANGE(""https://docs.google.com/spreadsheets/d/11923uPwbBZFjjGgGUA6NLw09EwE0CqkOc4q9oUmW1yo/edit?usp=sharing"",""ตาก!M495"")"),0)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IFERROR(__xludf.DUMMYFUNCTION("IMPORTRANGE(""https://docs.google.com/spreadsheets/d/11923uPwbBZFjjGgGUA6NLw09EwE0CqkOc4q9oUmW1yo/edit?usp=sharing"",""ตาก!L496"")"),8100)</f>
        <v>8100</v>
      </c>
      <c r="M601" s="168"/>
      <c r="N601" s="168">
        <f ca="1">IFERROR(__xludf.DUMMYFUNCTION("IMPORTRANGE(""https://docs.google.com/spreadsheets/d/11923uPwbBZFjjGgGUA6NLw09EwE0CqkOc4q9oUmW1yo/edit?usp=sharing"",""ตาก!M496"")"),800)</f>
        <v>800</v>
      </c>
      <c r="O601" s="168">
        <f t="shared" ca="1" si="126"/>
        <v>9.8765432098765427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IFERROR(__xludf.DUMMYFUNCTION("IMPORTRANGE(""https://docs.google.com/spreadsheets/d/11923uPwbBZFjjGgGUA6NLw09EwE0CqkOc4q9oUmW1yo/edit?usp=sharing"",""ตาก!M497"")"),0)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IFERROR(__xludf.DUMMYFUNCTION("IMPORTRANGE(""https://docs.google.com/spreadsheets/d/11923uPwbBZFjjGgGUA6NLw09EwE0CqkOc4q9oUmW1yo/edit?usp=sharing"",""ตาก!M498"")"),0)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IFERROR(__xludf.DUMMYFUNCTION("IMPORTRANGE(""https://docs.google.com/spreadsheets/d/11923uPwbBZFjjGgGUA6NLw09EwE0CqkOc4q9oUmW1yo/edit?usp=sharing"",""ตาก!M499"")"),0)</f>
        <v>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IFERROR(__xludf.DUMMYFUNCTION("IMPORTRANGE(""https://docs.google.com/spreadsheets/d/11923uPwbBZFjjGgGUA6NLw09EwE0CqkOc4q9oUmW1yo/edit?usp=sharing"",""ตาก!M500"")"),800)</f>
        <v>800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IFERROR(__xludf.DUMMYFUNCTION("IMPORTRANGE(""https://docs.google.com/spreadsheets/d/11923uPwbBZFjjGgGUA6NLw09EwE0CqkOc4q9oUmW1yo/edit?usp=sharing"",""ตาก!J502"")"),0)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IFERROR(__xludf.DUMMYFUNCTION("IMPORTRANGE(""https://docs.google.com/spreadsheets/d/11923uPwbBZFjjGgGUA6NLw09EwE0CqkOc4q9oUmW1yo/edit?usp=sharing"",""ตาก!J503"")"),1)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IFERROR(__xludf.DUMMYFUNCTION("IMPORTRANGE(""https://docs.google.com/spreadsheets/d/11923uPwbBZFjjGgGUA6NLw09EwE0CqkOc4q9oUmW1yo/edit?usp=sharing"",""ตาก!J166"")"),0)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IFERROR(__xludf.DUMMYFUNCTION("IMPORTRANGE(""https://docs.google.com/spreadsheets/d/11923uPwbBZFjjGgGUA6NLw09EwE0CqkOc4q9oUmW1yo/edit?usp=sharing"",""ตาก!J166"")"),0)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IFERROR(__xludf.DUMMYFUNCTION("IMPORTRANGE(""https://docs.google.com/spreadsheets/d/11923uPwbBZFjjGgGUA6NLw09EwE0CqkOc4q9oUmW1yo/edit?usp=sharing"",""ตาก!I506"")"),100)</f>
        <v>100</v>
      </c>
      <c r="J611" s="162">
        <f ca="1">IFERROR(__xludf.DUMMYFUNCTION("IMPORTRANGE(""https://docs.google.com/spreadsheets/d/11923uPwbBZFjjGgGUA6NLw09EwE0CqkOc4q9oUmW1yo/edit?usp=sharing"",""ตาก!J506"")"),0)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IFERROR(__xludf.DUMMYFUNCTION("IMPORTRANGE(""https://docs.google.com/spreadsheets/d/11923uPwbBZFjjGgGUA6NLw09EwE0CqkOc4q9oUmW1yo/edit?usp=sharing"",""ตาก!I507"")"),0)</f>
        <v>0</v>
      </c>
      <c r="J612" s="197">
        <f ca="1">IFERROR(__xludf.DUMMYFUNCTION("IMPORTRANGE(""https://docs.google.com/spreadsheets/d/11923uPwbBZFjjGgGUA6NLw09EwE0CqkOc4q9oUmW1yo/edit?usp=sharing"",""ตาก!J507"")"),0)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IFERROR(__xludf.DUMMYFUNCTION("IMPORTRANGE(""https://docs.google.com/spreadsheets/d/11923uPwbBZFjjGgGUA6NLw09EwE0CqkOc4q9oUmW1yo/edit?usp=sharing"",""ตาก!I508"")"),0)</f>
        <v>0</v>
      </c>
      <c r="J613" s="197">
        <f ca="1">IFERROR(__xludf.DUMMYFUNCTION("IMPORTRANGE(""https://docs.google.com/spreadsheets/d/11923uPwbBZFjjGgGUA6NLw09EwE0CqkOc4q9oUmW1yo/edit?usp=sharing"",""ตาก!J508"")"),0)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IFERROR(__xludf.DUMMYFUNCTION("IMPORTRANGE(""https://docs.google.com/spreadsheets/d/11923uPwbBZFjjGgGUA6NLw09EwE0CqkOc4q9oUmW1yo/edit?usp=sharing"",""ตาก!I509"")"),0)</f>
        <v>0</v>
      </c>
      <c r="J614" s="197">
        <f ca="1">IFERROR(__xludf.DUMMYFUNCTION("IMPORTRANGE(""https://docs.google.com/spreadsheets/d/11923uPwbBZFjjGgGUA6NLw09EwE0CqkOc4q9oUmW1yo/edit?usp=sharing"",""ตาก!J509"")"),0)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IFERROR(__xludf.DUMMYFUNCTION("IMPORTRANGE(""https://docs.google.com/spreadsheets/d/11923uPwbBZFjjGgGUA6NLw09EwE0CqkOc4q9oUmW1yo/edit?usp=sharing"",""ตาก!I510"")"),0)</f>
        <v>0</v>
      </c>
      <c r="J615" s="197">
        <f ca="1">IFERROR(__xludf.DUMMYFUNCTION("IMPORTRANGE(""https://docs.google.com/spreadsheets/d/11923uPwbBZFjjGgGUA6NLw09EwE0CqkOc4q9oUmW1yo/edit?usp=sharing"",""ตาก!J510"")"),0)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IFERROR(__xludf.DUMMYFUNCTION("IMPORTRANGE(""https://docs.google.com/spreadsheets/d/11923uPwbBZFjjGgGUA6NLw09EwE0CqkOc4q9oUmW1yo/edit?usp=sharing"",""ตาก!I511"")"),0)</f>
        <v>0</v>
      </c>
      <c r="J616" s="197">
        <f ca="1">IFERROR(__xludf.DUMMYFUNCTION("IMPORTRANGE(""https://docs.google.com/spreadsheets/d/11923uPwbBZFjjGgGUA6NLw09EwE0CqkOc4q9oUmW1yo/edit?usp=sharing"",""ตาก!J511"")"),0)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IFERROR(__xludf.DUMMYFUNCTION("IMPORTRANGE(""https://docs.google.com/spreadsheets/d/11923uPwbBZFjjGgGUA6NLw09EwE0CqkOc4q9oUmW1yo/edit?usp=sharing"",""ตาก!I512"")"),0)</f>
        <v>0</v>
      </c>
      <c r="J617" s="187">
        <f ca="1">IFERROR(__xludf.DUMMYFUNCTION("IMPORTRANGE(""https://docs.google.com/spreadsheets/d/11923uPwbBZFjjGgGUA6NLw09EwE0CqkOc4q9oUmW1yo/edit?usp=sharing"",""ตาก!J512"")"),0)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IFERROR(__xludf.DUMMYFUNCTION("IMPORTRANGE(""https://docs.google.com/spreadsheets/d/11923uPwbBZFjjGgGUA6NLw09EwE0CqkOc4q9oUmW1yo/edit?usp=sharing"",""ตาก!I513"")"),0)</f>
        <v>0</v>
      </c>
      <c r="J618" s="188">
        <f ca="1">IFERROR(__xludf.DUMMYFUNCTION("IMPORTRANGE(""https://docs.google.com/spreadsheets/d/11923uPwbBZFjjGgGUA6NLw09EwE0CqkOc4q9oUmW1yo/edit?usp=sharing"",""ตาก!J513"")"),0)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IFERROR(__xludf.DUMMYFUNCTION("IMPORTRANGE(""https://docs.google.com/spreadsheets/d/11923uPwbBZFjjGgGUA6NLw09EwE0CqkOc4q9oUmW1yo/edit?usp=sharing"",""ตาก!I514"")"),0)</f>
        <v>0</v>
      </c>
      <c r="J619" s="188">
        <f ca="1">IFERROR(__xludf.DUMMYFUNCTION("IMPORTRANGE(""https://docs.google.com/spreadsheets/d/11923uPwbBZFjjGgGUA6NLw09EwE0CqkOc4q9oUmW1yo/edit?usp=sharing"",""ตาก!J514"")"),0)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IFERROR(__xludf.DUMMYFUNCTION("IMPORTRANGE(""https://docs.google.com/spreadsheets/d/11923uPwbBZFjjGgGUA6NLw09EwE0CqkOc4q9oUmW1yo/edit?usp=sharing"",""ตาก!I515"")"),0)</f>
        <v>0</v>
      </c>
      <c r="J620" s="202">
        <f ca="1">IFERROR(__xludf.DUMMYFUNCTION("IMPORTRANGE(""https://docs.google.com/spreadsheets/d/11923uPwbBZFjjGgGUA6NLw09EwE0CqkOc4q9oUmW1yo/edit?usp=sharing"",""ตาก!J515"")"),0)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IFERROR(__xludf.DUMMYFUNCTION("IMPORTRANGE(""https://docs.google.com/spreadsheets/d/11923uPwbBZFjjGgGUA6NLw09EwE0CqkOc4q9oUmW1yo/edit?usp=sharing"",""ตาก!I516"")"),0)</f>
        <v>0</v>
      </c>
      <c r="J621" s="202">
        <f ca="1">IFERROR(__xludf.DUMMYFUNCTION("IMPORTRANGE(""https://docs.google.com/spreadsheets/d/11923uPwbBZFjjGgGUA6NLw09EwE0CqkOc4q9oUmW1yo/edit?usp=sharing"",""ตาก!J516"")"),0)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IFERROR(__xludf.DUMMYFUNCTION("IMPORTRANGE(""https://docs.google.com/spreadsheets/d/11923uPwbBZFjjGgGUA6NLw09EwE0CqkOc4q9oUmW1yo/edit?usp=sharing"",""ตาก!I517"")"),0)</f>
        <v>0</v>
      </c>
      <c r="J622" s="188">
        <f ca="1">IFERROR(__xludf.DUMMYFUNCTION("IMPORTRANGE(""https://docs.google.com/spreadsheets/d/11923uPwbBZFjjGgGUA6NLw09EwE0CqkOc4q9oUmW1yo/edit?usp=sharing"",""ตาก!J517"")"),0)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IFERROR(__xludf.DUMMYFUNCTION("IMPORTRANGE(""https://docs.google.com/spreadsheets/d/11923uPwbBZFjjGgGUA6NLw09EwE0CqkOc4q9oUmW1yo/edit?usp=sharing"",""ตาก!I518"")"),0)</f>
        <v>0</v>
      </c>
      <c r="J623" s="188">
        <f ca="1">IFERROR(__xludf.DUMMYFUNCTION("IMPORTRANGE(""https://docs.google.com/spreadsheets/d/11923uPwbBZFjjGgGUA6NLw09EwE0CqkOc4q9oUmW1yo/edit?usp=sharing"",""ตาก!J518"")"),0)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IFERROR(__xludf.DUMMYFUNCTION("IMPORTRANGE(""https://docs.google.com/spreadsheets/d/11923uPwbBZFjjGgGUA6NLw09EwE0CqkOc4q9oUmW1yo/edit?usp=sharing"",""ตาก!I519"")"),0)</f>
        <v>0</v>
      </c>
      <c r="J624" s="187">
        <f ca="1">IFERROR(__xludf.DUMMYFUNCTION("IMPORTRANGE(""https://docs.google.com/spreadsheets/d/11923uPwbBZFjjGgGUA6NLw09EwE0CqkOc4q9oUmW1yo/edit?usp=sharing"",""ตาก!J519"")"),0)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IFERROR(__xludf.DUMMYFUNCTION("IMPORTRANGE(""https://docs.google.com/spreadsheets/d/11923uPwbBZFjjGgGUA6NLw09EwE0CqkOc4q9oUmW1yo/edit?usp=sharing"",""ตาก!I520"")"),0)</f>
        <v>0</v>
      </c>
      <c r="J625" s="188">
        <f ca="1">IFERROR(__xludf.DUMMYFUNCTION("IMPORTRANGE(""https://docs.google.com/spreadsheets/d/11923uPwbBZFjjGgGUA6NLw09EwE0CqkOc4q9oUmW1yo/edit?usp=sharing"",""ตาก!J520"")"),0)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IFERROR(__xludf.DUMMYFUNCTION("IMPORTRANGE(""https://docs.google.com/spreadsheets/d/11923uPwbBZFjjGgGUA6NLw09EwE0CqkOc4q9oUmW1yo/edit?usp=sharing"",""ตาก!I521"")"),0)</f>
        <v>0</v>
      </c>
      <c r="J626" s="188">
        <f ca="1">IFERROR(__xludf.DUMMYFUNCTION("IMPORTRANGE(""https://docs.google.com/spreadsheets/d/11923uPwbBZFjjGgGUA6NLw09EwE0CqkOc4q9oUmW1yo/edit?usp=sharing"",""ตาก!J521"")"),0)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IFERROR(__xludf.DUMMYFUNCTION("IMPORTRANGE(""https://docs.google.com/spreadsheets/d/11923uPwbBZFjjGgGUA6NLw09EwE0CqkOc4q9oUmW1yo/edit?usp=sharing"",""ตาก!I523"")"),2024605.17)</f>
        <v>2024605.17</v>
      </c>
      <c r="J628" s="339">
        <f ca="1">IFERROR(__xludf.DUMMYFUNCTION("IMPORTRANGE(""https://docs.google.com/spreadsheets/d/11923uPwbBZFjjGgGUA6NLw09EwE0CqkOc4q9oUmW1yo/edit?usp=sharing"",""ตาก!J523"")"),0)</f>
        <v>0</v>
      </c>
      <c r="K628" s="340">
        <f t="shared" ref="K628:K635" ca="1" si="129">IF(I628&gt;0,J628*100/I628,0)</f>
        <v>0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IFERROR(__xludf.DUMMYFUNCTION("IMPORTRANGE(""https://docs.google.com/spreadsheets/d/11923uPwbBZFjjGgGUA6NLw09EwE0CqkOc4q9oUmW1yo/edit?usp=sharing"",""ตาก!I524"")"),177)</f>
        <v>177</v>
      </c>
      <c r="J629" s="339">
        <f ca="1">IFERROR(__xludf.DUMMYFUNCTION("IMPORTRANGE(""https://docs.google.com/spreadsheets/d/11923uPwbBZFjjGgGUA6NLw09EwE0CqkOc4q9oUmW1yo/edit?usp=sharing"",""ตาก!J524"")"),0)</f>
        <v>0</v>
      </c>
      <c r="K629" s="340">
        <f t="shared" ca="1" si="129"/>
        <v>0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IFERROR(__xludf.DUMMYFUNCTION("IMPORTRANGE(""https://docs.google.com/spreadsheets/d/11923uPwbBZFjjGgGUA6NLw09EwE0CqkOc4q9oUmW1yo/edit?usp=sharing"",""ตาก!I525"")"),7699315.18)</f>
        <v>7699315.1799999997</v>
      </c>
      <c r="J630" s="339">
        <f ca="1">IFERROR(__xludf.DUMMYFUNCTION("IMPORTRANGE(""https://docs.google.com/spreadsheets/d/11923uPwbBZFjjGgGUA6NLw09EwE0CqkOc4q9oUmW1yo/edit?usp=sharing"",""ตาก!J525"")"),265310.68)</f>
        <v>265310.68</v>
      </c>
      <c r="K630" s="340">
        <f t="shared" ca="1" si="129"/>
        <v>3.4458997170187287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IFERROR(__xludf.DUMMYFUNCTION("IMPORTRANGE(""https://docs.google.com/spreadsheets/d/11923uPwbBZFjjGgGUA6NLw09EwE0CqkOc4q9oUmW1yo/edit?usp=sharing"",""ตาก!I526"")"),292)</f>
        <v>292</v>
      </c>
      <c r="J631" s="339">
        <f ca="1">IFERROR(__xludf.DUMMYFUNCTION("IMPORTRANGE(""https://docs.google.com/spreadsheets/d/11923uPwbBZFjjGgGUA6NLw09EwE0CqkOc4q9oUmW1yo/edit?usp=sharing"",""ตาก!J526"")"),109)</f>
        <v>109</v>
      </c>
      <c r="K631" s="340">
        <f t="shared" ca="1" si="129"/>
        <v>37.328767123287669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IFERROR(__xludf.DUMMYFUNCTION("IMPORTRANGE(""https://docs.google.com/spreadsheets/d/11923uPwbBZFjjGgGUA6NLw09EwE0CqkOc4q9oUmW1yo/edit?usp=sharing"",""ตาก!I527"")"),0)</f>
        <v>0</v>
      </c>
      <c r="J632" s="339">
        <f ca="1">IFERROR(__xludf.DUMMYFUNCTION("IMPORTRANGE(""https://docs.google.com/spreadsheets/d/11923uPwbBZFjjGgGUA6NLw09EwE0CqkOc4q9oUmW1yo/edit?usp=sharing"",""ตาก!J527"")"),0)</f>
        <v>0</v>
      </c>
      <c r="K632" s="340">
        <f t="shared" ca="1" si="129"/>
        <v>0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IFERROR(__xludf.DUMMYFUNCTION("IMPORTRANGE(""https://docs.google.com/spreadsheets/d/11923uPwbBZFjjGgGUA6NLw09EwE0CqkOc4q9oUmW1yo/edit?usp=sharing"",""ตาก!I528"")"),0)</f>
        <v>0</v>
      </c>
      <c r="J633" s="339">
        <f ca="1">IFERROR(__xludf.DUMMYFUNCTION("IMPORTRANGE(""https://docs.google.com/spreadsheets/d/11923uPwbBZFjjGgGUA6NLw09EwE0CqkOc4q9oUmW1yo/edit?usp=sharing"",""ตาก!J528"")"),0)</f>
        <v>0</v>
      </c>
      <c r="K633" s="340">
        <f t="shared" ca="1" si="129"/>
        <v>0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IFERROR(__xludf.DUMMYFUNCTION("IMPORTRANGE(""https://docs.google.com/spreadsheets/d/11923uPwbBZFjjGgGUA6NLw09EwE0CqkOc4q9oUmW1yo/edit?usp=sharing"",""ตาก!I529"")"),3000000)</f>
        <v>3000000</v>
      </c>
      <c r="J634" s="339">
        <f ca="1">IFERROR(__xludf.DUMMYFUNCTION("IMPORTRANGE(""https://docs.google.com/spreadsheets/d/11923uPwbBZFjjGgGUA6NLw09EwE0CqkOc4q9oUmW1yo/edit?usp=sharing"",""ตาก!J529"")"),0)</f>
        <v>0</v>
      </c>
      <c r="K634" s="340">
        <f t="shared" ca="1" si="129"/>
        <v>0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IFERROR(__xludf.DUMMYFUNCTION("IMPORTRANGE(""https://docs.google.com/spreadsheets/d/11923uPwbBZFjjGgGUA6NLw09EwE0CqkOc4q9oUmW1yo/edit?usp=sharing"",""ตาก!I530"")"),100)</f>
        <v>100</v>
      </c>
      <c r="J635" s="502">
        <f ca="1">IFERROR(__xludf.DUMMYFUNCTION("IMPORTRANGE(""https://docs.google.com/spreadsheets/d/11923uPwbBZFjjGgGUA6NLw09EwE0CqkOc4q9oUmW1yo/edit?usp=sharing"",""ตาก!J530"")"),0)</f>
        <v>0</v>
      </c>
      <c r="K635" s="484">
        <f t="shared" ca="1" si="129"/>
        <v>0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9" width="15.36328125" bestFit="1" customWidth="1"/>
    <col min="10" max="10" width="13.90625" bestFit="1" customWidth="1"/>
    <col min="11" max="11" width="11" bestFit="1" customWidth="1"/>
    <col min="12" max="13" width="20.08984375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246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6225228</v>
      </c>
      <c r="M8" s="23">
        <f t="shared" ca="1" si="0"/>
        <v>2373936</v>
      </c>
      <c r="N8" s="23">
        <f t="shared" ca="1" si="0"/>
        <v>2560354</v>
      </c>
      <c r="O8" s="22">
        <f t="shared" ref="O8:O16" ca="1" si="1">IF(L8&gt;0,N8*100/L8,0)</f>
        <v>41.128678339170868</v>
      </c>
      <c r="P8" s="22">
        <f t="shared" ref="P8:P16" ca="1" si="2">IF(M8&gt;0,N8*100/M8,0)</f>
        <v>107.85269695560453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6225228</v>
      </c>
      <c r="M10" s="30">
        <f t="shared" ca="1" si="4"/>
        <v>2373936</v>
      </c>
      <c r="N10" s="30">
        <f t="shared" ca="1" si="4"/>
        <v>2560354</v>
      </c>
      <c r="O10" s="29">
        <f t="shared" ca="1" si="1"/>
        <v>41.128678339170868</v>
      </c>
      <c r="P10" s="29">
        <f t="shared" ca="1" si="2"/>
        <v>107.85269695560453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6027828</v>
      </c>
      <c r="M12" s="38">
        <f t="shared" ca="1" si="6"/>
        <v>2176536</v>
      </c>
      <c r="N12" s="38">
        <f t="shared" ca="1" si="6"/>
        <v>2362954</v>
      </c>
      <c r="O12" s="38">
        <f t="shared" ca="1" si="1"/>
        <v>39.200753571601581</v>
      </c>
      <c r="P12" s="38">
        <f t="shared" ca="1" si="2"/>
        <v>108.56489394156587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2242900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3784928</v>
      </c>
      <c r="M14" s="38">
        <f t="shared" si="8"/>
        <v>0</v>
      </c>
      <c r="N14" s="38">
        <f t="shared" ca="1" si="8"/>
        <v>631348</v>
      </c>
      <c r="O14" s="38">
        <f t="shared" ca="1" si="1"/>
        <v>16.680581506438166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197400</v>
      </c>
      <c r="M16" s="38">
        <f t="shared" ca="1" si="10"/>
        <v>197400</v>
      </c>
      <c r="N16" s="38">
        <f t="shared" ca="1" si="10"/>
        <v>197400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4126815</v>
      </c>
      <c r="M18" s="23">
        <f t="shared" ca="1" si="11"/>
        <v>2373936</v>
      </c>
      <c r="N18" s="23">
        <f t="shared" ca="1" si="11"/>
        <v>1929006</v>
      </c>
      <c r="O18" s="22">
        <f t="shared" ref="O18:O20" ca="1" si="12">IF(L18&gt;0,N18*100/L18,0)</f>
        <v>46.743214803668202</v>
      </c>
      <c r="P18" s="22">
        <f t="shared" ref="P18:P26" ca="1" si="13">IF(M18&gt;0,N18*100/M18,0)</f>
        <v>81.257708716662961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4126815</v>
      </c>
      <c r="M20" s="30">
        <f t="shared" ca="1" si="15"/>
        <v>2373936</v>
      </c>
      <c r="N20" s="30">
        <f t="shared" ca="1" si="15"/>
        <v>1929006</v>
      </c>
      <c r="O20" s="29">
        <f t="shared" ca="1" si="12"/>
        <v>46.743214803668202</v>
      </c>
      <c r="P20" s="29">
        <f t="shared" ca="1" si="13"/>
        <v>81.257708716662961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3929415</v>
      </c>
      <c r="M22" s="41">
        <f t="shared" ca="1" si="18"/>
        <v>2176536</v>
      </c>
      <c r="N22" s="38">
        <f t="shared" ca="1" si="18"/>
        <v>1731606</v>
      </c>
      <c r="O22" s="38">
        <f t="shared" ca="1" si="17"/>
        <v>44.06778108191677</v>
      </c>
      <c r="P22" s="38">
        <f t="shared" ca="1" si="13"/>
        <v>79.55788463871032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2242900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1686515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197400</v>
      </c>
      <c r="M26" s="49">
        <f t="shared" ca="1" si="22"/>
        <v>197400</v>
      </c>
      <c r="N26" s="49">
        <f t="shared" ca="1" si="22"/>
        <v>197400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2098413</v>
      </c>
      <c r="M28" s="23">
        <f t="shared" si="23"/>
        <v>0</v>
      </c>
      <c r="N28" s="23">
        <f t="shared" ca="1" si="23"/>
        <v>631348</v>
      </c>
      <c r="O28" s="22">
        <f t="shared" ref="O28:O30" ca="1" si="24">IF(L28&gt;0,N28*100/L28,0)</f>
        <v>30.086927597188922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2098413</v>
      </c>
      <c r="M30" s="30">
        <f t="shared" si="27"/>
        <v>0</v>
      </c>
      <c r="N30" s="30">
        <f t="shared" ca="1" si="27"/>
        <v>631348</v>
      </c>
      <c r="O30" s="29">
        <f t="shared" ca="1" si="24"/>
        <v>30.086927597188922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2098413</v>
      </c>
      <c r="M32" s="38">
        <f t="shared" si="30"/>
        <v>0</v>
      </c>
      <c r="N32" s="38">
        <f t="shared" ca="1" si="30"/>
        <v>631348</v>
      </c>
      <c r="O32" s="38">
        <f t="shared" ca="1" si="29"/>
        <v>30.086927597188922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2098413</v>
      </c>
      <c r="M34" s="38">
        <f t="shared" si="32"/>
        <v>0</v>
      </c>
      <c r="N34" s="38">
        <f t="shared" ca="1" si="32"/>
        <v>631348</v>
      </c>
      <c r="O34" s="38">
        <f t="shared" ca="1" si="29"/>
        <v>30.086927597188922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4126815</v>
      </c>
      <c r="M37" s="54">
        <f t="shared" ca="1" si="33"/>
        <v>2373936</v>
      </c>
      <c r="N37" s="54">
        <f t="shared" ca="1" si="33"/>
        <v>1929006</v>
      </c>
      <c r="O37" s="55">
        <f t="shared" ca="1" si="29"/>
        <v>46.743214803668202</v>
      </c>
      <c r="P37" s="55">
        <f t="shared" ca="1" si="25"/>
        <v>81.257708716662961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952200</v>
      </c>
      <c r="M41" s="78">
        <f t="shared" ca="1" si="34"/>
        <v>522120</v>
      </c>
      <c r="N41" s="78">
        <f t="shared" ca="1" si="34"/>
        <v>443213</v>
      </c>
      <c r="O41" s="77">
        <f t="shared" ref="O41:O43" ca="1" si="35">IF(L41&gt;0,N41*100/L41,0)</f>
        <v>46.546208779668135</v>
      </c>
      <c r="P41" s="77">
        <f t="shared" ref="P41:P43" ca="1" si="36">IF(M41&gt;0,N41*100/M41,0)</f>
        <v>84.887190684133913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952200</v>
      </c>
      <c r="M43" s="78">
        <f t="shared" ca="1" si="38"/>
        <v>522120</v>
      </c>
      <c r="N43" s="78">
        <f t="shared" ca="1" si="38"/>
        <v>443213</v>
      </c>
      <c r="O43" s="77">
        <f t="shared" ca="1" si="35"/>
        <v>46.546208779668135</v>
      </c>
      <c r="P43" s="77">
        <f t="shared" ca="1" si="36"/>
        <v>84.887190684133913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952200</v>
      </c>
      <c r="M45" s="49">
        <f ca="1">IFERROR(__xludf.DUMMYFUNCTION("IMPORTRANGE(""https://docs.google.com/spreadsheets/d/1Yj_ptqi66GCucihVvJfMjLAmec39IyEx_6qawtMGysU/edit?usp=sharing"",""สบก!Q24"")"),522120)</f>
        <v>522120</v>
      </c>
      <c r="N45" s="49">
        <f ca="1">IFERROR(__xludf.DUMMYFUNCTION("IMPORTRANGE(""https://docs.google.com/spreadsheets/d/1Yj_ptqi66GCucihVvJfMjLAmec39IyEx_6qawtMGysU/edit?usp=sharing"",""สบก!R24"")"),443213)</f>
        <v>443213</v>
      </c>
      <c r="O45" s="38">
        <f ca="1">IF(L45&gt;0,N45*100/L45,0)</f>
        <v>46.546208779668135</v>
      </c>
      <c r="P45" s="38">
        <f ca="1">IF(M45&gt;0,N45*100/M45,0)</f>
        <v>84.887190684133913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IFERROR(__xludf.DUMMYFUNCTION("IMPORTRANGE(""https://docs.google.com/spreadsheets/d/1Yj_ptqi66GCucihVvJfMjLAmec39IyEx_6qawtMGysU/edit?usp=sharing"",""สบก!M24"")"),952200)</f>
        <v>952200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IFERROR(__xludf.DUMMYFUNCTION("IMPORTRANGE(""https://docs.google.com/spreadsheets/d/1Yj_ptqi66GCucihVvJfMjLAmec39IyEx_6qawtMGysU/edit?usp=sharing"",""สบก!N24"")"),0)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IFERROR(__xludf.DUMMYFUNCTION("IMPORTRANGE(""https://docs.google.com/spreadsheets/d/1Yj_ptqi66GCucihVvJfMjLAmec39IyEx_6qawtMGysU/edit?usp=sharing"",""สบก!O24"")"),0)</f>
        <v>0</v>
      </c>
      <c r="M49" s="49"/>
      <c r="N49" s="49">
        <f ca="1">IFERROR(__xludf.DUMMYFUNCTION("IMPORTRANGE(""https://docs.google.com/spreadsheets/d/1Yj_ptqi66GCucihVvJfMjLAmec39IyEx_6qawtMGysU/edit?usp=sharing"",""สบก!S24"")"),0)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450000</v>
      </c>
      <c r="M53" s="120">
        <f t="shared" ca="1" si="39"/>
        <v>244171</v>
      </c>
      <c r="N53" s="120">
        <f t="shared" ca="1" si="39"/>
        <v>240190</v>
      </c>
      <c r="O53" s="119">
        <f t="shared" ref="O53:O55" ca="1" si="40">IF(L53&gt;0,N53*100/L53,0)</f>
        <v>53.375555555555557</v>
      </c>
      <c r="P53" s="119">
        <f t="shared" ref="P53:P55" ca="1" si="41">IF(M53&gt;0,N53*100/M53,0)</f>
        <v>98.369585249681577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450000</v>
      </c>
      <c r="M55" s="120">
        <f t="shared" ca="1" si="43"/>
        <v>244171</v>
      </c>
      <c r="N55" s="120">
        <f t="shared" ca="1" si="43"/>
        <v>240190</v>
      </c>
      <c r="O55" s="119">
        <f t="shared" ca="1" si="40"/>
        <v>53.375555555555557</v>
      </c>
      <c r="P55" s="119">
        <f t="shared" ca="1" si="41"/>
        <v>98.369585249681577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IFERROR(__xludf.DUMMYFUNCTION("IMPORTRANGE(""https://docs.google.com/spreadsheets/d/1Yj_ptqi66GCucihVvJfMjLAmec39IyEx_6qawtMGysU/edit?usp=sharing"",""สบก!Z24"")"),244171)</f>
        <v>244171</v>
      </c>
      <c r="N57" s="49">
        <f ca="1">IFERROR(__xludf.DUMMYFUNCTION("IMPORTRANGE(""https://docs.google.com/spreadsheets/d/1Yj_ptqi66GCucihVvJfMjLAmec39IyEx_6qawtMGysU/edit?usp=sharing"",""สบก!AA24"")"),240190)</f>
        <v>240190</v>
      </c>
      <c r="O57" s="38">
        <f ca="1">IF(L57&gt;0,N57*100/L57,0)</f>
        <v>53.375555555555557</v>
      </c>
      <c r="P57" s="38">
        <f ca="1">IF(M57&gt;0,N57*100/M57,0)</f>
        <v>98.369585249681577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IFERROR(__xludf.DUMMYFUNCTION("IMPORTRANGE(""https://docs.google.com/spreadsheets/d/1Yj_ptqi66GCucihVvJfMjLAmec39IyEx_6qawtMGysU/edit?usp=sharing"",""สบก!V24"")"),450000)</f>
        <v>450000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IFERROR(__xludf.DUMMYFUNCTION("IMPORTRANGE(""https://docs.google.com/spreadsheets/d/1Yj_ptqi66GCucihVvJfMjLAmec39IyEx_6qawtMGysU/edit?usp=sharing"",""สบก!W24"")"),0)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IFERROR(__xludf.DUMMYFUNCTION("IMPORTRANGE(""https://docs.google.com/spreadsheets/d/1Yj_ptqi66GCucihVvJfMjLAmec39IyEx_6qawtMGysU/edit?usp=sharing"",""สบก!X24"")"),0)</f>
        <v>0</v>
      </c>
      <c r="M61" s="49"/>
      <c r="N61" s="49">
        <f ca="1">IFERROR(__xludf.DUMMYFUNCTION("IMPORTRANGE(""https://docs.google.com/spreadsheets/d/1Yj_ptqi66GCucihVvJfMjLAmec39IyEx_6qawtMGysU/edit?usp=sharing"",""สบก!AB24"")"),0)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IFERROR(__xludf.DUMMYFUNCTION("IMPORTRANGE(""https://docs.google.com/spreadsheets/d/11923uPwbBZFjjGgGUA6NLw09EwE0CqkOc4q9oUmW1yo/edit?usp=sharing"",""นครสวรรค์!I9"")"),1)</f>
        <v>1</v>
      </c>
      <c r="J64" s="141">
        <f ca="1">IFERROR(__xludf.DUMMYFUNCTION("IMPORTRANGE(""https://docs.google.com/spreadsheets/d/11923uPwbBZFjjGgGUA6NLw09EwE0CqkOc4q9oUmW1yo/edit?usp=sharing"",""นครสวรรค์!J9"")"),1)</f>
        <v>1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IFERROR(__xludf.DUMMYFUNCTION("IMPORTRANGE(""https://docs.google.com/spreadsheets/d/11923uPwbBZFjjGgGUA6NLw09EwE0CqkOc4q9oUmW1yo/edit?usp=sharing"",""นครสวรรค์!I10"")"),40)</f>
        <v>40</v>
      </c>
      <c r="J65" s="141">
        <f ca="1">IFERROR(__xludf.DUMMYFUNCTION("IMPORTRANGE(""https://docs.google.com/spreadsheets/d/11923uPwbBZFjjGgGUA6NLw09EwE0CqkOc4q9oUmW1yo/edit?usp=sharing"",""นครสวรรค์!J10"")"),35)</f>
        <v>35</v>
      </c>
      <c r="K65" s="142">
        <f t="shared" ca="1" si="44"/>
        <v>87.5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745500</v>
      </c>
      <c r="M66" s="151">
        <f t="shared" ca="1" si="45"/>
        <v>409320</v>
      </c>
      <c r="N66" s="151">
        <f t="shared" ca="1" si="45"/>
        <v>358787</v>
      </c>
      <c r="O66" s="150">
        <f t="shared" ref="O66:O68" ca="1" si="46">IF(L66&gt;0,N66*100/L66,0)</f>
        <v>48.127028839704899</v>
      </c>
      <c r="P66" s="150">
        <f t="shared" ref="P66:P68" ca="1" si="47">IF(M66&gt;0,N66*100/M66,0)</f>
        <v>87.654402423531707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745500</v>
      </c>
      <c r="M68" s="87">
        <f t="shared" ca="1" si="49"/>
        <v>409320</v>
      </c>
      <c r="N68" s="87">
        <f t="shared" ca="1" si="49"/>
        <v>358787</v>
      </c>
      <c r="O68" s="155">
        <f t="shared" ca="1" si="46"/>
        <v>48.127028839704899</v>
      </c>
      <c r="P68" s="155">
        <f t="shared" ca="1" si="47"/>
        <v>87.654402423531707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745500</v>
      </c>
      <c r="M70" s="167">
        <f ca="1">IFERROR(__xludf.DUMMYFUNCTION("IMPORTRANGE(""https://docs.google.com/spreadsheets/d/1Yj_ptqi66GCucihVvJfMjLAmec39IyEx_6qawtMGysU/edit?usp=sharing"",""สบก!AI24"")"),409320)</f>
        <v>409320</v>
      </c>
      <c r="N70" s="168">
        <f ca="1">IFERROR(__xludf.DUMMYFUNCTION("IMPORTRANGE(""https://docs.google.com/spreadsheets/d/1Yj_ptqi66GCucihVvJfMjLAmec39IyEx_6qawtMGysU/edit?usp=sharing"",""สบก!AJ24"")"),358787)</f>
        <v>358787</v>
      </c>
      <c r="O70" s="168">
        <f ca="1">IF(L70&gt;0,N70*100/L70,0)</f>
        <v>48.127028839704899</v>
      </c>
      <c r="P70" s="168">
        <f ca="1">IF(M70&gt;0,N70*100/M70,0)</f>
        <v>87.654402423531707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IFERROR(__xludf.DUMMYFUNCTION("IMPORTRANGE(""https://docs.google.com/spreadsheets/d/1Yj_ptqi66GCucihVvJfMjLAmec39IyEx_6qawtMGysU/edit?usp=sharing"",""สบก!AE24"")"),311500)</f>
        <v>311500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IFERROR(__xludf.DUMMYFUNCTION("IMPORTRANGE(""https://docs.google.com/spreadsheets/d/1Yj_ptqi66GCucihVvJfMjLAmec39IyEx_6qawtMGysU/edit?usp=sharing"",""สบก!AF24"")"),434000)</f>
        <v>434000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IFERROR(__xludf.DUMMYFUNCTION("IMPORTRANGE(""https://docs.google.com/spreadsheets/d/1Yj_ptqi66GCucihVvJfMjLAmec39IyEx_6qawtMGysU/edit?usp=sharing"",""สบก!AG24"")"),0)</f>
        <v>0</v>
      </c>
      <c r="M74" s="49"/>
      <c r="N74" s="49">
        <f ca="1">IFERROR(__xludf.DUMMYFUNCTION("IMPORTRANGE(""https://docs.google.com/spreadsheets/d/1Yj_ptqi66GCucihVvJfMjLAmec39IyEx_6qawtMGysU/edit?usp=sharing"",""สบก!AK24"")"),0)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IFERROR(__xludf.DUMMYFUNCTION("IMPORTRANGE(""https://docs.google.com/spreadsheets/d/11923uPwbBZFjjGgGUA6NLw09EwE0CqkOc4q9oUmW1yo/edit?usp=sharing"",""นครสวรรค์!J16"")"),0)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IFERROR(__xludf.DUMMYFUNCTION("IMPORTRANGE(""https://docs.google.com/spreadsheets/d/11923uPwbBZFjjGgGUA6NLw09EwE0CqkOc4q9oUmW1yo/edit?usp=sharing"",""นครสวรรค์!J17"")"),1)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IFERROR(__xludf.DUMMYFUNCTION("IMPORTRANGE(""https://docs.google.com/spreadsheets/d/11923uPwbBZFjjGgGUA6NLw09EwE0CqkOc4q9oUmW1yo/edit?usp=sharing"",""นครสวรรค์!J18"")"),1)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IFERROR(__xludf.DUMMYFUNCTION("IMPORTRANGE(""https://docs.google.com/spreadsheets/d/11923uPwbBZFjjGgGUA6NLw09EwE0CqkOc4q9oUmW1yo/edit?usp=sharing"",""นครสวรรค์!J19"")"),1)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IFERROR(__xludf.DUMMYFUNCTION("IMPORTRANGE(""https://docs.google.com/spreadsheets/d/11923uPwbBZFjjGgGUA6NLw09EwE0CqkOc4q9oUmW1yo/edit?usp=sharing"",""นครสวรรค์!I20"")"),1)</f>
        <v>1</v>
      </c>
      <c r="J80" s="200">
        <f ca="1">IFERROR(__xludf.DUMMYFUNCTION("IMPORTRANGE(""https://docs.google.com/spreadsheets/d/11923uPwbBZFjjGgGUA6NLw09EwE0CqkOc4q9oUmW1yo/edit?usp=sharing"",""นครสวรรค์!J20"")"),1)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IFERROR(__xludf.DUMMYFUNCTION("IMPORTRANGE(""https://docs.google.com/spreadsheets/d/11923uPwbBZFjjGgGUA6NLw09EwE0CqkOc4q9oUmW1yo/edit?usp=sharing"",""นครสวรรค์!I21"")"),40)</f>
        <v>40</v>
      </c>
      <c r="J81" s="200">
        <f ca="1">IFERROR(__xludf.DUMMYFUNCTION("IMPORTRANGE(""https://docs.google.com/spreadsheets/d/11923uPwbBZFjjGgGUA6NLw09EwE0CqkOc4q9oUmW1yo/edit?usp=sharing"",""นครสวรรค์!J21"")"),35)</f>
        <v>35</v>
      </c>
      <c r="K81" s="201">
        <f t="shared" ca="1" si="50"/>
        <v>87.5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IFERROR(__xludf.DUMMYFUNCTION("IMPORTRANGE(""https://docs.google.com/spreadsheets/d/11923uPwbBZFjjGgGUA6NLw09EwE0CqkOc4q9oUmW1yo/edit?usp=sharing"",""นครสวรรค์!I22"")"),0)</f>
        <v>0</v>
      </c>
      <c r="J82" s="203">
        <f ca="1">IFERROR(__xludf.DUMMYFUNCTION("IMPORTRANGE(""https://docs.google.com/spreadsheets/d/11923uPwbBZFjjGgGUA6NLw09EwE0CqkOc4q9oUmW1yo/edit?usp=sharing"",""นครสวรรค์!J22"")"),0)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IFERROR(__xludf.DUMMYFUNCTION("IMPORTRANGE(""https://docs.google.com/spreadsheets/d/11923uPwbBZFjjGgGUA6NLw09EwE0CqkOc4q9oUmW1yo/edit?usp=sharing"",""นครสวรรค์!I23"")"),0)</f>
        <v>0</v>
      </c>
      <c r="J83" s="203">
        <f ca="1">IFERROR(__xludf.DUMMYFUNCTION("IMPORTRANGE(""https://docs.google.com/spreadsheets/d/11923uPwbBZFjjGgGUA6NLw09EwE0CqkOc4q9oUmW1yo/edit?usp=sharing"",""นครสวรรค์!J23"")"),0)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IFERROR(__xludf.DUMMYFUNCTION("IMPORTRANGE(""https://docs.google.com/spreadsheets/d/11923uPwbBZFjjGgGUA6NLw09EwE0CqkOc4q9oUmW1yo/edit?usp=sharing"",""นครสวรรค์!I24"")"),1)</f>
        <v>1</v>
      </c>
      <c r="J84" s="188">
        <f ca="1">IFERROR(__xludf.DUMMYFUNCTION("IMPORTRANGE(""https://docs.google.com/spreadsheets/d/11923uPwbBZFjjGgGUA6NLw09EwE0CqkOc4q9oUmW1yo/edit?usp=sharing"",""นครสวรรค์!J24"")"),1)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IFERROR(__xludf.DUMMYFUNCTION("IMPORTRANGE(""https://docs.google.com/spreadsheets/d/11923uPwbBZFjjGgGUA6NLw09EwE0CqkOc4q9oUmW1yo/edit?usp=sharing"",""นครสวรรค์!I25"")"),40)</f>
        <v>40</v>
      </c>
      <c r="J85" s="188">
        <f ca="1">IFERROR(__xludf.DUMMYFUNCTION("IMPORTRANGE(""https://docs.google.com/spreadsheets/d/11923uPwbBZFjjGgGUA6NLw09EwE0CqkOc4q9oUmW1yo/edit?usp=sharing"",""นครสวรรค์!J25"")"),35)</f>
        <v>35</v>
      </c>
      <c r="K85" s="163">
        <f t="shared" ca="1" si="50"/>
        <v>87.5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IFERROR(__xludf.DUMMYFUNCTION("IMPORTRANGE(""https://docs.google.com/spreadsheets/d/11923uPwbBZFjjGgGUA6NLw09EwE0CqkOc4q9oUmW1yo/edit?usp=sharing"",""นครสวรรค์!I26"")"),0)</f>
        <v>0</v>
      </c>
      <c r="J86" s="203">
        <f ca="1">IFERROR(__xludf.DUMMYFUNCTION("IMPORTRANGE(""https://docs.google.com/spreadsheets/d/11923uPwbBZFjjGgGUA6NLw09EwE0CqkOc4q9oUmW1yo/edit?usp=sharing"",""นครสวรรค์!J26"")"),0)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IFERROR(__xludf.DUMMYFUNCTION("IMPORTRANGE(""https://docs.google.com/spreadsheets/d/11923uPwbBZFjjGgGUA6NLw09EwE0CqkOc4q9oUmW1yo/edit?usp=sharing"",""นครสวรรค์!I27"")"),0)</f>
        <v>0</v>
      </c>
      <c r="J87" s="203">
        <f ca="1">IFERROR(__xludf.DUMMYFUNCTION("IMPORTRANGE(""https://docs.google.com/spreadsheets/d/11923uPwbBZFjjGgGUA6NLw09EwE0CqkOc4q9oUmW1yo/edit?usp=sharing"",""นครสวรรค์!J27"")"),0)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IFERROR(__xludf.DUMMYFUNCTION("IMPORTRANGE(""https://docs.google.com/spreadsheets/d/11923uPwbBZFjjGgGUA6NLw09EwE0CqkOc4q9oUmW1yo/edit?usp=sharing"",""นครสวรรค์!I28"")"),0)</f>
        <v>0</v>
      </c>
      <c r="J88" s="203">
        <f ca="1">IFERROR(__xludf.DUMMYFUNCTION("IMPORTRANGE(""https://docs.google.com/spreadsheets/d/11923uPwbBZFjjGgGUA6NLw09EwE0CqkOc4q9oUmW1yo/edit?usp=sharing"",""นครสวรรค์!J28"")"),0)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IFERROR(__xludf.DUMMYFUNCTION("IMPORTRANGE(""https://docs.google.com/spreadsheets/d/11923uPwbBZFjjGgGUA6NLw09EwE0CqkOc4q9oUmW1yo/edit?usp=sharing"",""นครสวรรค์!J29"")"),0)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IFERROR(__xludf.DUMMYFUNCTION("IMPORTRANGE(""https://docs.google.com/spreadsheets/d/11923uPwbBZFjjGgGUA6NLw09EwE0CqkOc4q9oUmW1yo/edit?usp=sharing"",""นครสวรรค์!J30"")"),0)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IFERROR(__xludf.DUMMYFUNCTION("IMPORTRANGE(""https://docs.google.com/spreadsheets/d/11923uPwbBZFjjGgGUA6NLw09EwE0CqkOc4q9oUmW1yo/edit?usp=sharing"",""นครสวรรค์!I32"")"),4)</f>
        <v>4</v>
      </c>
      <c r="J92" s="141">
        <f ca="1">IFERROR(__xludf.DUMMYFUNCTION("IMPORTRANGE(""https://docs.google.com/spreadsheets/d/11923uPwbBZFjjGgGUA6NLw09EwE0CqkOc4q9oUmW1yo/edit?usp=sharing"",""นครสวรรค์!J32"")"),0)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IFERROR(__xludf.DUMMYFUNCTION("IMPORTRANGE(""https://docs.google.com/spreadsheets/d/11923uPwbBZFjjGgGUA6NLw09EwE0CqkOc4q9oUmW1yo/edit?usp=sharing"",""นครสวรรค์!I33"")"),1)</f>
        <v>1</v>
      </c>
      <c r="J93" s="141">
        <f ca="1">IFERROR(__xludf.DUMMYFUNCTION("IMPORTRANGE(""https://docs.google.com/spreadsheets/d/11923uPwbBZFjjGgGUA6NLw09EwE0CqkOc4q9oUmW1yo/edit?usp=sharing"",""นครสวรรค์!J33"")"),0)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214500</v>
      </c>
      <c r="M94" s="151">
        <f t="shared" ca="1" si="52"/>
        <v>161130</v>
      </c>
      <c r="N94" s="151">
        <f t="shared" ca="1" si="52"/>
        <v>100460</v>
      </c>
      <c r="O94" s="150">
        <f t="shared" ref="O94:O96" ca="1" si="53">IF(L94&gt;0,N94*100/L94,0)</f>
        <v>46.834498834498838</v>
      </c>
      <c r="P94" s="150">
        <f t="shared" ref="P94:P96" ca="1" si="54">IF(M94&gt;0,N94*100/M94,0)</f>
        <v>62.347173090051513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214500</v>
      </c>
      <c r="M96" s="87">
        <f t="shared" ca="1" si="56"/>
        <v>161130</v>
      </c>
      <c r="N96" s="87">
        <f t="shared" ca="1" si="56"/>
        <v>100460</v>
      </c>
      <c r="O96" s="155">
        <f t="shared" ca="1" si="53"/>
        <v>46.834498834498838</v>
      </c>
      <c r="P96" s="155">
        <f t="shared" ca="1" si="54"/>
        <v>62.347173090051513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IFERROR(__xludf.DUMMYFUNCTION("IMPORTRANGE(""https://docs.google.com/spreadsheets/d/1Yj_ptqi66GCucihVvJfMjLAmec39IyEx_6qawtMGysU/edit?usp=sharing"",""สบก!AR24"")"),68730)</f>
        <v>68730</v>
      </c>
      <c r="N98" s="168">
        <f ca="1">IFERROR(__xludf.DUMMYFUNCTION("IMPORTRANGE(""https://docs.google.com/spreadsheets/d/1Yj_ptqi66GCucihVvJfMjLAmec39IyEx_6qawtMGysU/edit?usp=sharing"",""สบก!AS24"")"),8060)</f>
        <v>8060</v>
      </c>
      <c r="O98" s="168">
        <f ca="1">IF(L98&gt;0,N98*100/L98,0)</f>
        <v>6.6011466011466009</v>
      </c>
      <c r="P98" s="168">
        <f ca="1">IF(M98&gt;0,N98*100/M98,0)</f>
        <v>11.727047868470828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IFERROR(__xludf.DUMMYFUNCTION("IMPORTRANGE(""https://docs.google.com/spreadsheets/d/1Yj_ptqi66GCucihVvJfMjLAmec39IyEx_6qawtMGysU/edit?usp=sharing"",""สบก!AN24"")"),0)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IFERROR(__xludf.DUMMYFUNCTION("IMPORTRANGE(""https://docs.google.com/spreadsheets/d/1Yj_ptqi66GCucihVvJfMjLAmec39IyEx_6qawtMGysU/edit?usp=sharing"",""สบก!AO24"")"),122100)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IFERROR(__xludf.DUMMYFUNCTION("IMPORTRANGE(""https://docs.google.com/spreadsheets/d/1Yj_ptqi66GCucihVvJfMjLAmec39IyEx_6qawtMGysU/edit?usp=sharing"",""สบก!AP24"")"),92400)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IFERROR(__xludf.DUMMYFUNCTION("IMPORTRANGE(""https://docs.google.com/spreadsheets/d/1Yj_ptqi66GCucihVvJfMjLAmec39IyEx_6qawtMGysU/edit?usp=sharing"",""สบก!AT24"")"),92400)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IFERROR(__xludf.DUMMYFUNCTION("IMPORTRANGE(""https://docs.google.com/spreadsheets/d/11923uPwbBZFjjGgGUA6NLw09EwE0CqkOc4q9oUmW1yo/edit?usp=sharing"",""นครสวรรค์!J39"")"),0)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IFERROR(__xludf.DUMMYFUNCTION("IMPORTRANGE(""https://docs.google.com/spreadsheets/d/11923uPwbBZFjjGgGUA6NLw09EwE0CqkOc4q9oUmW1yo/edit?usp=sharing"",""นครสวรรค์!J40"")"),1)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IFERROR(__xludf.DUMMYFUNCTION("IMPORTRANGE(""https://docs.google.com/spreadsheets/d/11923uPwbBZFjjGgGUA6NLw09EwE0CqkOc4q9oUmW1yo/edit?usp=sharing"",""นครสวรรค์!J41"")"),1)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IFERROR(__xludf.DUMMYFUNCTION("IMPORTRANGE(""https://docs.google.com/spreadsheets/d/11923uPwbBZFjjGgGUA6NLw09EwE0CqkOc4q9oUmW1yo/edit?usp=sharing"",""นครสวรรค์!J42"")"),1)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IFERROR(__xludf.DUMMYFUNCTION("IMPORTRANGE(""https://docs.google.com/spreadsheets/d/11923uPwbBZFjjGgGUA6NLw09EwE0CqkOc4q9oUmW1yo/edit?usp=sharing"",""นครสวรรค์!I43"")"),1)</f>
        <v>1</v>
      </c>
      <c r="J108" s="203">
        <f ca="1">IFERROR(__xludf.DUMMYFUNCTION("IMPORTRANGE(""https://docs.google.com/spreadsheets/d/11923uPwbBZFjjGgGUA6NLw09EwE0CqkOc4q9oUmW1yo/edit?usp=sharing"",""นครสวรรค์!J43"")"),0)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IFERROR(__xludf.DUMMYFUNCTION("IMPORTRANGE(""https://docs.google.com/spreadsheets/d/11923uPwbBZFjjGgGUA6NLw09EwE0CqkOc4q9oUmW1yo/edit?usp=sharing"",""นครสวรรค์!I44"")"),4)</f>
        <v>4</v>
      </c>
      <c r="J109" s="203">
        <f ca="1">IFERROR(__xludf.DUMMYFUNCTION("IMPORTRANGE(""https://docs.google.com/spreadsheets/d/11923uPwbBZFjjGgGUA6NLw09EwE0CqkOc4q9oUmW1yo/edit?usp=sharing"",""นครสวรรค์!J44"")"),0)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IFERROR(__xludf.DUMMYFUNCTION("IMPORTRANGE(""https://docs.google.com/spreadsheets/d/11923uPwbBZFjjGgGUA6NLw09EwE0CqkOc4q9oUmW1yo/edit?usp=sharing"",""นครสวรรค์!I45"")"),4)</f>
        <v>4</v>
      </c>
      <c r="J110" s="203">
        <f ca="1">IFERROR(__xludf.DUMMYFUNCTION("IMPORTRANGE(""https://docs.google.com/spreadsheets/d/11923uPwbBZFjjGgGUA6NLw09EwE0CqkOc4q9oUmW1yo/edit?usp=sharing"",""นครสวรรค์!J45"")"),4)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IFERROR(__xludf.DUMMYFUNCTION("IMPORTRANGE(""https://docs.google.com/spreadsheets/d/11923uPwbBZFjjGgGUA6NLw09EwE0CqkOc4q9oUmW1yo/edit?usp=sharing"",""นครสวรรค์!I46"")"),4)</f>
        <v>4</v>
      </c>
      <c r="J111" s="203">
        <f ca="1">IFERROR(__xludf.DUMMYFUNCTION("IMPORTRANGE(""https://docs.google.com/spreadsheets/d/11923uPwbBZFjjGgGUA6NLw09EwE0CqkOc4q9oUmW1yo/edit?usp=sharing"",""นครสวรรค์!J46"")"),0)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IFERROR(__xludf.DUMMYFUNCTION("IMPORTRANGE(""https://docs.google.com/spreadsheets/d/11923uPwbBZFjjGgGUA6NLw09EwE0CqkOc4q9oUmW1yo/edit?usp=sharing"",""นครสวรรค์!I47"")"),4)</f>
        <v>4</v>
      </c>
      <c r="J112" s="203">
        <f ca="1">IFERROR(__xludf.DUMMYFUNCTION("IMPORTRANGE(""https://docs.google.com/spreadsheets/d/11923uPwbBZFjjGgGUA6NLw09EwE0CqkOc4q9oUmW1yo/edit?usp=sharing"",""นครสวรรค์!J47"")"),0)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IFERROR(__xludf.DUMMYFUNCTION("IMPORTRANGE(""https://docs.google.com/spreadsheets/d/11923uPwbBZFjjGgGUA6NLw09EwE0CqkOc4q9oUmW1yo/edit?usp=sharing"",""นครสวรรค์!I48"")"),1)</f>
        <v>1</v>
      </c>
      <c r="J113" s="203">
        <f ca="1">IFERROR(__xludf.DUMMYFUNCTION("IMPORTRANGE(""https://docs.google.com/spreadsheets/d/11923uPwbBZFjjGgGUA6NLw09EwE0CqkOc4q9oUmW1yo/edit?usp=sharing"",""นครสวรรค์!J48"")"),0)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IFERROR(__xludf.DUMMYFUNCTION("IMPORTRANGE(""https://docs.google.com/spreadsheets/d/11923uPwbBZFjjGgGUA6NLw09EwE0CqkOc4q9oUmW1yo/edit?usp=sharing"",""นครสวรรค์!J49"")"),0)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IFERROR(__xludf.DUMMYFUNCTION("IMPORTRANGE(""https://docs.google.com/spreadsheets/d/11923uPwbBZFjjGgGUA6NLw09EwE0CqkOc4q9oUmW1yo/edit?usp=sharing"",""นครสวรรค์!J50"")"),0)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IFERROR(__xludf.DUMMYFUNCTION("IMPORTRANGE(""https://docs.google.com/spreadsheets/d/11923uPwbBZFjjGgGUA6NLw09EwE0CqkOc4q9oUmW1yo/edit?usp=sharing"",""นครสวรรค์!I52"")"),20)</f>
        <v>20</v>
      </c>
      <c r="J117" s="141">
        <f ca="1">IFERROR(__xludf.DUMMYFUNCTION("IMPORTRANGE(""https://docs.google.com/spreadsheets/d/11923uPwbBZFjjGgGUA6NLw09EwE0CqkOc4q9oUmW1yo/edit?usp=sharing"",""นครสวรรค์!J52"")"),20)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41870</v>
      </c>
      <c r="O118" s="150">
        <f t="shared" ref="O118:O120" ca="1" si="59">IF(L118&gt;0,N118*100/L118,0)</f>
        <v>50.788452207666182</v>
      </c>
      <c r="P118" s="150">
        <f t="shared" ref="P118:P120" ca="1" si="60">IF(M118&gt;0,N118*100/M118,0)</f>
        <v>63.01926550270921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41870</v>
      </c>
      <c r="O120" s="155">
        <f t="shared" ca="1" si="59"/>
        <v>50.788452207666182</v>
      </c>
      <c r="P120" s="155">
        <f t="shared" ca="1" si="60"/>
        <v>63.01926550270921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IFERROR(__xludf.DUMMYFUNCTION("IMPORTRANGE(""https://docs.google.com/spreadsheets/d/1Yj_ptqi66GCucihVvJfMjLAmec39IyEx_6qawtMGysU/edit?usp=sharing"",""สบก!BA24"")"),66440)</f>
        <v>66440</v>
      </c>
      <c r="N122" s="168">
        <f ca="1">IFERROR(__xludf.DUMMYFUNCTION("IMPORTRANGE(""https://docs.google.com/spreadsheets/d/1Yj_ptqi66GCucihVvJfMjLAmec39IyEx_6qawtMGysU/edit?usp=sharing"",""สบก!BB24"")"),41870)</f>
        <v>41870</v>
      </c>
      <c r="O122" s="168">
        <f ca="1">IF(L122&gt;0,N122*100/L122,0)</f>
        <v>50.788452207666182</v>
      </c>
      <c r="P122" s="168">
        <f ca="1">IF(M122&gt;0,N122*100/M122,0)</f>
        <v>63.01926550270921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IFERROR(__xludf.DUMMYFUNCTION("IMPORTRANGE(""https://docs.google.com/spreadsheets/d/1Yj_ptqi66GCucihVvJfMjLAmec39IyEx_6qawtMGysU/edit?usp=sharing"",""สบก!AW24"")"),0)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IFERROR(__xludf.DUMMYFUNCTION("IMPORTRANGE(""https://docs.google.com/spreadsheets/d/1Yj_ptqi66GCucihVvJfMjLAmec39IyEx_6qawtMGysU/edit?usp=sharing"",""สบก!AX24"")"),82440)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IFERROR(__xludf.DUMMYFUNCTION("IMPORTRANGE(""https://docs.google.com/spreadsheets/d/1Yj_ptqi66GCucihVvJfMjLAmec39IyEx_6qawtMGysU/edit?usp=sharing"",""สบก!AY24"")"),0)</f>
        <v>0</v>
      </c>
      <c r="M126" s="49"/>
      <c r="N126" s="49">
        <f ca="1">IFERROR(__xludf.DUMMYFUNCTION("IMPORTRANGE(""https://docs.google.com/spreadsheets/d/1Yj_ptqi66GCucihVvJfMjLAmec39IyEx_6qawtMGysU/edit?usp=sharing"",""สบก!BC24"")"),0)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247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IFERROR(__xludf.DUMMYFUNCTION("IMPORTRANGE(""https://docs.google.com/spreadsheets/d/11923uPwbBZFjjGgGUA6NLw09EwE0CqkOc4q9oUmW1yo/edit?usp=sharing"",""นครสวรรค์!J58"")"),0)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IFERROR(__xludf.DUMMYFUNCTION("IMPORTRANGE(""https://docs.google.com/spreadsheets/d/11923uPwbBZFjjGgGUA6NLw09EwE0CqkOc4q9oUmW1yo/edit?usp=sharing"",""นครสวรรค์!J59"")"),1)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IFERROR(__xludf.DUMMYFUNCTION("IMPORTRANGE(""https://docs.google.com/spreadsheets/d/11923uPwbBZFjjGgGUA6NLw09EwE0CqkOc4q9oUmW1yo/edit?usp=sharing"",""นครสวรรค์!J60"")"),1)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IFERROR(__xludf.DUMMYFUNCTION("IMPORTRANGE(""https://docs.google.com/spreadsheets/d/11923uPwbBZFjjGgGUA6NLw09EwE0CqkOc4q9oUmW1yo/edit?usp=sharing"",""นครสวรรค์!J61"")"),1)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IFERROR(__xludf.DUMMYFUNCTION("IMPORTRANGE(""https://docs.google.com/spreadsheets/d/11923uPwbBZFjjGgGUA6NLw09EwE0CqkOc4q9oUmW1yo/edit?usp=sharing"",""นครสวรรค์!I62"")"),20)</f>
        <v>20</v>
      </c>
      <c r="J132" s="203">
        <f ca="1">IFERROR(__xludf.DUMMYFUNCTION("IMPORTRANGE(""https://docs.google.com/spreadsheets/d/11923uPwbBZFjjGgGUA6NLw09EwE0CqkOc4q9oUmW1yo/edit?usp=sharing"",""นครสวรรค์!J62"")"),20)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IFERROR(__xludf.DUMMYFUNCTION("IMPORTRANGE(""https://docs.google.com/spreadsheets/d/11923uPwbBZFjjGgGUA6NLw09EwE0CqkOc4q9oUmW1yo/edit?usp=sharing"",""นครสวรรค์!I63"")"),20)</f>
        <v>20</v>
      </c>
      <c r="J133" s="203">
        <f ca="1">IFERROR(__xludf.DUMMYFUNCTION("IMPORTRANGE(""https://docs.google.com/spreadsheets/d/11923uPwbBZFjjGgGUA6NLw09EwE0CqkOc4q9oUmW1yo/edit?usp=sharing"",""นครสวรรค์!J63"")"),0)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IFERROR(__xludf.DUMMYFUNCTION("IMPORTRANGE(""https://docs.google.com/spreadsheets/d/11923uPwbBZFjjGgGUA6NLw09EwE0CqkOc4q9oUmW1yo/edit?usp=sharing"",""นครสวรรค์!J64"")"),0)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IFERROR(__xludf.DUMMYFUNCTION("IMPORTRANGE(""https://docs.google.com/spreadsheets/d/11923uPwbBZFjjGgGUA6NLw09EwE0CqkOc4q9oUmW1yo/edit?usp=sharing"",""นครสวรรค์!J65"")"),0)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IFERROR(__xludf.DUMMYFUNCTION("IMPORTRANGE(""https://docs.google.com/spreadsheets/d/11923uPwbBZFjjGgGUA6NLw09EwE0CqkOc4q9oUmW1yo/edit?usp=sharing"",""นครสวรรค์!I68"")"),0)</f>
        <v>0</v>
      </c>
      <c r="J138" s="266">
        <f ca="1">IFERROR(__xludf.DUMMYFUNCTION("IMPORTRANGE(""https://docs.google.com/spreadsheets/d/11923uPwbBZFjjGgGUA6NLw09EwE0CqkOc4q9oUmW1yo/edit?usp=sharing"",""นครสวรรค์!J68"")"),0)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163500</v>
      </c>
      <c r="M140" s="151">
        <f t="shared" ca="1" si="64"/>
        <v>81750</v>
      </c>
      <c r="N140" s="151">
        <f t="shared" ca="1" si="64"/>
        <v>64140</v>
      </c>
      <c r="O140" s="150">
        <f t="shared" ref="O140:O142" ca="1" si="65">IF(L140&gt;0,N140*100/L140,0)</f>
        <v>39.22935779816514</v>
      </c>
      <c r="P140" s="150">
        <f t="shared" ref="P140:P142" ca="1" si="66">IF(M140&gt;0,N140*100/M140,0)</f>
        <v>78.458715596330279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163500</v>
      </c>
      <c r="M142" s="87">
        <f t="shared" ca="1" si="68"/>
        <v>81750</v>
      </c>
      <c r="N142" s="87">
        <f t="shared" ca="1" si="68"/>
        <v>64140</v>
      </c>
      <c r="O142" s="155">
        <f t="shared" ca="1" si="65"/>
        <v>39.22935779816514</v>
      </c>
      <c r="P142" s="155">
        <f t="shared" ca="1" si="66"/>
        <v>78.458715596330279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163500</v>
      </c>
      <c r="M144" s="167">
        <f ca="1">IFERROR(__xludf.DUMMYFUNCTION("IMPORTRANGE(""https://docs.google.com/spreadsheets/d/1Yj_ptqi66GCucihVvJfMjLAmec39IyEx_6qawtMGysU/edit?usp=sharing"",""สบก!BJ24"")"),81750)</f>
        <v>81750</v>
      </c>
      <c r="N144" s="168">
        <f ca="1">IFERROR(__xludf.DUMMYFUNCTION("IMPORTRANGE(""https://docs.google.com/spreadsheets/d/1Yj_ptqi66GCucihVvJfMjLAmec39IyEx_6qawtMGysU/edit?usp=sharing"",""สบก!BK24"")"),64140)</f>
        <v>64140</v>
      </c>
      <c r="O144" s="168">
        <f ca="1">IF(L144&gt;0,N144*100/L144,0)</f>
        <v>39.22935779816514</v>
      </c>
      <c r="P144" s="168">
        <f ca="1">IF(M144&gt;0,N144*100/M144,0)</f>
        <v>78.458715596330279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IFERROR(__xludf.DUMMYFUNCTION("IMPORTRANGE(""https://docs.google.com/spreadsheets/d/1Yj_ptqi66GCucihVvJfMjLAmec39IyEx_6qawtMGysU/edit?usp=sharing"",""สบก!BF24"")"),0)</f>
        <v>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IFERROR(__xludf.DUMMYFUNCTION("IMPORTRANGE(""https://docs.google.com/spreadsheets/d/1Yj_ptqi66GCucihVvJfMjLAmec39IyEx_6qawtMGysU/edit?usp=sharing"",""สบก!BG24"")"),163500)</f>
        <v>163500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IFERROR(__xludf.DUMMYFUNCTION("IMPORTRANGE(""https://docs.google.com/spreadsheets/d/1Yj_ptqi66GCucihVvJfMjLAmec39IyEx_6qawtMGysU/edit?usp=sharing"",""สบก!BH24"")"),0)</f>
        <v>0</v>
      </c>
      <c r="M148" s="49"/>
      <c r="N148" s="49">
        <f ca="1">IFERROR(__xludf.DUMMYFUNCTION("IMPORTRANGE(""https://docs.google.com/spreadsheets/d/1Yj_ptqi66GCucihVvJfMjLAmec39IyEx_6qawtMGysU/edit?usp=sharing"",""สบก!BL24"")"),0)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IFERROR(__xludf.DUMMYFUNCTION("IMPORTRANGE(""https://docs.google.com/spreadsheets/d/11923uPwbBZFjjGgGUA6NLw09EwE0CqkOc4q9oUmW1yo/edit?usp=sharing"",""นครสวรรค์!I74"")"),4)</f>
        <v>4</v>
      </c>
      <c r="J149" s="274">
        <f ca="1">IFERROR(__xludf.DUMMYFUNCTION("IMPORTRANGE(""https://docs.google.com/spreadsheets/d/11923uPwbBZFjjGgGUA6NLw09EwE0CqkOc4q9oUmW1yo/edit?usp=sharing"",""นครสวรรค์!J74"")"),2)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IFERROR(__xludf.DUMMYFUNCTION("IMPORTRANGE(""https://docs.google.com/spreadsheets/d/11923uPwbBZFjjGgGUA6NLw09EwE0CqkOc4q9oUmW1yo/edit?usp=sharing"",""นครสวรรค์!J79"")"),0)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IFERROR(__xludf.DUMMYFUNCTION("IMPORTRANGE(""https://docs.google.com/spreadsheets/d/11923uPwbBZFjjGgGUA6NLw09EwE0CqkOc4q9oUmW1yo/edit?usp=sharing"",""นครสวรรค์!J80"")"),1)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IFERROR(__xludf.DUMMYFUNCTION("IMPORTRANGE(""https://docs.google.com/spreadsheets/d/11923uPwbBZFjjGgGUA6NLw09EwE0CqkOc4q9oUmW1yo/edit?usp=sharing"",""นครสวรรค์!J81"")"),1)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IFERROR(__xludf.DUMMYFUNCTION("IMPORTRANGE(""https://docs.google.com/spreadsheets/d/11923uPwbBZFjjGgGUA6NLw09EwE0CqkOc4q9oUmW1yo/edit?usp=sharing"",""นครสวรรค์!J82"")"),1)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IFERROR(__xludf.DUMMYFUNCTION("IMPORTRANGE(""https://docs.google.com/spreadsheets/d/11923uPwbBZFjjGgGUA6NLw09EwE0CqkOc4q9oUmW1yo/edit?usp=sharing"",""นครสวรรค์!I83"")"),4)</f>
        <v>4</v>
      </c>
      <c r="J158" s="188">
        <f ca="1">IFERROR(__xludf.DUMMYFUNCTION("IMPORTRANGE(""https://docs.google.com/spreadsheets/d/11923uPwbBZFjjGgGUA6NLw09EwE0CqkOc4q9oUmW1yo/edit?usp=sharing"",""นครสวรรค์!J83"")"),2)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IFERROR(__xludf.DUMMYFUNCTION("IMPORTRANGE(""https://docs.google.com/spreadsheets/d/11923uPwbBZFjjGgGUA6NLw09EwE0CqkOc4q9oUmW1yo/edit?usp=sharing"",""นครสวรรค์!J84"")"),66)</f>
        <v>66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IFERROR(__xludf.DUMMYFUNCTION("IMPORTRANGE(""https://docs.google.com/spreadsheets/d/11923uPwbBZFjjGgGUA6NLw09EwE0CqkOc4q9oUmW1yo/edit?usp=sharing"",""นครสวรรค์!J85"")"),66)</f>
        <v>66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IFERROR(__xludf.DUMMYFUNCTION("IMPORTRANGE(""https://docs.google.com/spreadsheets/d/11923uPwbBZFjjGgGUA6NLw09EwE0CqkOc4q9oUmW1yo/edit?usp=sharing"",""นครสวรรค์!J86"")"),0)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IFERROR(__xludf.DUMMYFUNCTION("IMPORTRANGE(""https://docs.google.com/spreadsheets/d/11923uPwbBZFjjGgGUA6NLw09EwE0CqkOc4q9oUmW1yo/edit?usp=sharing"",""นครสวรรค์!J87"")"),0)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IFERROR(__xludf.DUMMYFUNCTION("IMPORTRANGE(""https://docs.google.com/spreadsheets/d/11923uPwbBZFjjGgGUA6NLw09EwE0CqkOc4q9oUmW1yo/edit?usp=sharing"",""นครสวรรค์!J88"")"),0)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IFERROR(__xludf.DUMMYFUNCTION("IMPORTRANGE(""https://docs.google.com/spreadsheets/d/11923uPwbBZFjjGgGUA6NLw09EwE0CqkOc4q9oUmW1yo/edit?usp=sharing"",""นครสวรรค์!I89"")"),5)</f>
        <v>5</v>
      </c>
      <c r="J164" s="282">
        <f ca="1">IFERROR(__xludf.DUMMYFUNCTION("IMPORTRANGE(""https://docs.google.com/spreadsheets/d/11923uPwbBZFjjGgGUA6NLw09EwE0CqkOc4q9oUmW1yo/edit?usp=sharing"",""นครสวรรค์!J89"")"),0)</f>
        <v>0</v>
      </c>
      <c r="K164" s="283">
        <f ca="1">IF(I164&gt;0,J164*100/I164,0)</f>
        <v>0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IFERROR(__xludf.DUMMYFUNCTION("IMPORTRANGE(""https://docs.google.com/spreadsheets/d/11923uPwbBZFjjGgGUA6NLw09EwE0CqkOc4q9oUmW1yo/edit?usp=sharing"",""นครสวรรค์!J94"")"),0)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IFERROR(__xludf.DUMMYFUNCTION("IMPORTRANGE(""https://docs.google.com/spreadsheets/d/11923uPwbBZFjjGgGUA6NLw09EwE0CqkOc4q9oUmW1yo/edit?usp=sharing"",""นครสวรรค์!J95"")"),1)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IFERROR(__xludf.DUMMYFUNCTION("IMPORTRANGE(""https://docs.google.com/spreadsheets/d/11923uPwbBZFjjGgGUA6NLw09EwE0CqkOc4q9oUmW1yo/edit?usp=sharing"",""นครสวรรค์!J96"")"),1)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IFERROR(__xludf.DUMMYFUNCTION("IMPORTRANGE(""https://docs.google.com/spreadsheets/d/11923uPwbBZFjjGgGUA6NLw09EwE0CqkOc4q9oUmW1yo/edit?usp=sharing"",""นครสวรรค์!J97"")"),1)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IFERROR(__xludf.DUMMYFUNCTION("IMPORTRANGE(""https://docs.google.com/spreadsheets/d/11923uPwbBZFjjGgGUA6NLw09EwE0CqkOc4q9oUmW1yo/edit?usp=sharing"",""นครสวรรค์!I98"")"),5)</f>
        <v>5</v>
      </c>
      <c r="J173" s="188">
        <f ca="1">IFERROR(__xludf.DUMMYFUNCTION("IMPORTRANGE(""https://docs.google.com/spreadsheets/d/11923uPwbBZFjjGgGUA6NLw09EwE0CqkOc4q9oUmW1yo/edit?usp=sharing"",""นครสวรรค์!J98"")"),0)</f>
        <v>0</v>
      </c>
      <c r="K173" s="163">
        <f ca="1">IF(I173&gt;0,J173*100/I173,0)</f>
        <v>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IFERROR(__xludf.DUMMYFUNCTION("IMPORTRANGE(""https://docs.google.com/spreadsheets/d/11923uPwbBZFjjGgGUA6NLw09EwE0CqkOc4q9oUmW1yo/edit?usp=sharing"",""นครสวรรค์!J99"")"),0)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IFERROR(__xludf.DUMMYFUNCTION("IMPORTRANGE(""https://docs.google.com/spreadsheets/d/11923uPwbBZFjjGgGUA6NLw09EwE0CqkOc4q9oUmW1yo/edit?usp=sharing"",""นครสวรรค์!J100"")"),0)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IFERROR(__xludf.DUMMYFUNCTION("IMPORTRANGE(""https://docs.google.com/spreadsheets/d/11923uPwbBZFjjGgGUA6NLw09EwE0CqkOc4q9oUmW1yo/edit?usp=sharing"",""นครสวรรค์!I101"")"),0)</f>
        <v>0</v>
      </c>
      <c r="J176" s="282">
        <f ca="1">IFERROR(__xludf.DUMMYFUNCTION("IMPORTRANGE(""https://docs.google.com/spreadsheets/d/11923uPwbBZFjjGgGUA6NLw09EwE0CqkOc4q9oUmW1yo/edit?usp=sharing"",""นครสวรรค์!J101"")"),0)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IFERROR(__xludf.DUMMYFUNCTION("IMPORTRANGE(""https://docs.google.com/spreadsheets/d/11923uPwbBZFjjGgGUA6NLw09EwE0CqkOc4q9oUmW1yo/edit?usp=sharing"",""นครสวรรค์!J106"")"),0)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IFERROR(__xludf.DUMMYFUNCTION("IMPORTRANGE(""https://docs.google.com/spreadsheets/d/11923uPwbBZFjjGgGUA6NLw09EwE0CqkOc4q9oUmW1yo/edit?usp=sharing"",""นครสวรรค์!J107"")"),0)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IFERROR(__xludf.DUMMYFUNCTION("IMPORTRANGE(""https://docs.google.com/spreadsheets/d/11923uPwbBZFjjGgGUA6NLw09EwE0CqkOc4q9oUmW1yo/edit?usp=sharing"",""นครสวรรค์!J108"")"),0)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IFERROR(__xludf.DUMMYFUNCTION("IMPORTRANGE(""https://docs.google.com/spreadsheets/d/11923uPwbBZFjjGgGUA6NLw09EwE0CqkOc4q9oUmW1yo/edit?usp=sharing"",""นครสวรรค์!J109"")"),0)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IFERROR(__xludf.DUMMYFUNCTION("IMPORTRANGE(""https://docs.google.com/spreadsheets/d/11923uPwbBZFjjGgGUA6NLw09EwE0CqkOc4q9oUmW1yo/edit?usp=sharing"",""นครสวรรค์!I110"")"),0)</f>
        <v>0</v>
      </c>
      <c r="J185" s="203">
        <f ca="1">IFERROR(__xludf.DUMMYFUNCTION("IMPORTRANGE(""https://docs.google.com/spreadsheets/d/11923uPwbBZFjjGgGUA6NLw09EwE0CqkOc4q9oUmW1yo/edit?usp=sharing"",""นครสวรรค์!J110"")"),0)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IFERROR(__xludf.DUMMYFUNCTION("IMPORTRANGE(""https://docs.google.com/spreadsheets/d/11923uPwbBZFjjGgGUA6NLw09EwE0CqkOc4q9oUmW1yo/edit?usp=sharing"",""นครสวรรค์!I111"")"),0)</f>
        <v>0</v>
      </c>
      <c r="J186" s="203">
        <f ca="1">IFERROR(__xludf.DUMMYFUNCTION("IMPORTRANGE(""https://docs.google.com/spreadsheets/d/11923uPwbBZFjjGgGUA6NLw09EwE0CqkOc4q9oUmW1yo/edit?usp=sharing"",""นครสวรรค์!J111"")"),0)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IFERROR(__xludf.DUMMYFUNCTION("IMPORTRANGE(""https://docs.google.com/spreadsheets/d/11923uPwbBZFjjGgGUA6NLw09EwE0CqkOc4q9oUmW1yo/edit?usp=sharing"",""นครสวรรค์!J112"")"),0)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IFERROR(__xludf.DUMMYFUNCTION("IMPORTRANGE(""https://docs.google.com/spreadsheets/d/11923uPwbBZFjjGgGUA6NLw09EwE0CqkOc4q9oUmW1yo/edit?usp=sharing"",""นครสวรรค์!J113"")"),0)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IFERROR(__xludf.DUMMYFUNCTION("IMPORTRANGE(""https://docs.google.com/spreadsheets/d/11923uPwbBZFjjGgGUA6NLw09EwE0CqkOc4q9oUmW1yo/edit?usp=sharing"",""นครสวรรค์!I114"")"),300000)</f>
        <v>300000</v>
      </c>
      <c r="J189" s="282">
        <f ca="1">IFERROR(__xludf.DUMMYFUNCTION("IMPORTRANGE(""https://docs.google.com/spreadsheets/d/11923uPwbBZFjjGgGUA6NLw09EwE0CqkOc4q9oUmW1yo/edit?usp=sharing"",""นครสวรรค์!J114"")"),0)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IFERROR(__xludf.DUMMYFUNCTION("IMPORTRANGE(""https://docs.google.com/spreadsheets/d/11923uPwbBZFjjGgGUA6NLw09EwE0CqkOc4q9oUmW1yo/edit?usp=sharing"",""นครสวรรค์!J119"")"),0)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IFERROR(__xludf.DUMMYFUNCTION("IMPORTRANGE(""https://docs.google.com/spreadsheets/d/11923uPwbBZFjjGgGUA6NLw09EwE0CqkOc4q9oUmW1yo/edit?usp=sharing"",""นครสวรรค์!J120"")"),1)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IFERROR(__xludf.DUMMYFUNCTION("IMPORTRANGE(""https://docs.google.com/spreadsheets/d/11923uPwbBZFjjGgGUA6NLw09EwE0CqkOc4q9oUmW1yo/edit?usp=sharing"",""นครสวรรค์!J121"")"),1)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IFERROR(__xludf.DUMMYFUNCTION("IMPORTRANGE(""https://docs.google.com/spreadsheets/d/11923uPwbBZFjjGgGUA6NLw09EwE0CqkOc4q9oUmW1yo/edit?usp=sharing"",""นครสวรรค์!J122"")"),1)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IFERROR(__xludf.DUMMYFUNCTION("IMPORTRANGE(""https://docs.google.com/spreadsheets/d/11923uPwbBZFjjGgGUA6NLw09EwE0CqkOc4q9oUmW1yo/edit?usp=sharing"",""นครสวรรค์!I124"")"),300000)</f>
        <v>300000</v>
      </c>
      <c r="J199" s="188">
        <f ca="1">IFERROR(__xludf.DUMMYFUNCTION("IMPORTRANGE(""https://docs.google.com/spreadsheets/d/11923uPwbBZFjjGgGUA6NLw09EwE0CqkOc4q9oUmW1yo/edit?usp=sharing"",""นครสวรรค์!J124"")"),300000)</f>
        <v>300000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IFERROR(__xludf.DUMMYFUNCTION("IMPORTRANGE(""https://docs.google.com/spreadsheets/d/11923uPwbBZFjjGgGUA6NLw09EwE0CqkOc4q9oUmW1yo/edit?usp=sharing"",""นครสวรรค์!I125"")"),300000)</f>
        <v>300000</v>
      </c>
      <c r="J200" s="188">
        <f ca="1">IFERROR(__xludf.DUMMYFUNCTION("IMPORTRANGE(""https://docs.google.com/spreadsheets/d/11923uPwbBZFjjGgGUA6NLw09EwE0CqkOc4q9oUmW1yo/edit?usp=sharing"",""นครสวรรค์!J125"")"),0)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IFERROR(__xludf.DUMMYFUNCTION("IMPORTRANGE(""https://docs.google.com/spreadsheets/d/11923uPwbBZFjjGgGUA6NLw09EwE0CqkOc4q9oUmW1yo/edit?usp=sharing"",""นครสวรรค์!I126"")"),0)</f>
        <v>0</v>
      </c>
      <c r="J201" s="188">
        <f ca="1">IFERROR(__xludf.DUMMYFUNCTION("IMPORTRANGE(""https://docs.google.com/spreadsheets/d/11923uPwbBZFjjGgGUA6NLw09EwE0CqkOc4q9oUmW1yo/edit?usp=sharing"",""นครสวรรค์!J126"")"),0)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IFERROR(__xludf.DUMMYFUNCTION("IMPORTRANGE(""https://docs.google.com/spreadsheets/d/11923uPwbBZFjjGgGUA6NLw09EwE0CqkOc4q9oUmW1yo/edit?usp=sharing"",""นครสวรรค์!J127"")"),0)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IFERROR(__xludf.DUMMYFUNCTION("IMPORTRANGE(""https://docs.google.com/spreadsheets/d/11923uPwbBZFjjGgGUA6NLw09EwE0CqkOc4q9oUmW1yo/edit?usp=sharing"",""นครสวรรค์!J128"")"),0)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IFERROR(__xludf.DUMMYFUNCTION("IMPORTRANGE(""https://docs.google.com/spreadsheets/d/11923uPwbBZFjjGgGUA6NLw09EwE0CqkOc4q9oUmW1yo/edit?usp=sharing"",""นครสวรรค์!I129"")"),0)</f>
        <v>0</v>
      </c>
      <c r="J204" s="282">
        <f ca="1">IFERROR(__xludf.DUMMYFUNCTION("IMPORTRANGE(""https://docs.google.com/spreadsheets/d/11923uPwbBZFjjGgGUA6NLw09EwE0CqkOc4q9oUmW1yo/edit?usp=sharing"",""นครสวรรค์!J129"")"),0)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IFERROR(__xludf.DUMMYFUNCTION("IMPORTRANGE(""https://docs.google.com/spreadsheets/d/11923uPwbBZFjjGgGUA6NLw09EwE0CqkOc4q9oUmW1yo/edit?usp=sharing"",""นครสวรรค์!J134"")"),0)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IFERROR(__xludf.DUMMYFUNCTION("IMPORTRANGE(""https://docs.google.com/spreadsheets/d/11923uPwbBZFjjGgGUA6NLw09EwE0CqkOc4q9oUmW1yo/edit?usp=sharing"",""นครสวรรค์!J135"")"),0)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IFERROR(__xludf.DUMMYFUNCTION("IMPORTRANGE(""https://docs.google.com/spreadsheets/d/11923uPwbBZFjjGgGUA6NLw09EwE0CqkOc4q9oUmW1yo/edit?usp=sharing"",""นครสวรรค์!J136"")"),0)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IFERROR(__xludf.DUMMYFUNCTION("IMPORTRANGE(""https://docs.google.com/spreadsheets/d/11923uPwbBZFjjGgGUA6NLw09EwE0CqkOc4q9oUmW1yo/edit?usp=sharing"",""นครสวรรค์!J137"")"),0)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IFERROR(__xludf.DUMMYFUNCTION("IMPORTRANGE(""https://docs.google.com/spreadsheets/d/11923uPwbBZFjjGgGUA6NLw09EwE0CqkOc4q9oUmW1yo/edit?usp=sharing"",""นครสวรรค์!I138"")"),0)</f>
        <v>0</v>
      </c>
      <c r="J213" s="203">
        <f ca="1">IFERROR(__xludf.DUMMYFUNCTION("IMPORTRANGE(""https://docs.google.com/spreadsheets/d/11923uPwbBZFjjGgGUA6NLw09EwE0CqkOc4q9oUmW1yo/edit?usp=sharing"",""นครสวรรค์!J138"")"),0)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IFERROR(__xludf.DUMMYFUNCTION("IMPORTRANGE(""https://docs.google.com/spreadsheets/d/11923uPwbBZFjjGgGUA6NLw09EwE0CqkOc4q9oUmW1yo/edit?usp=sharing"",""นครสวรรค์!I140"")"),0)</f>
        <v>0</v>
      </c>
      <c r="J215" s="203">
        <f ca="1">IFERROR(__xludf.DUMMYFUNCTION("IMPORTRANGE(""https://docs.google.com/spreadsheets/d/11923uPwbBZFjjGgGUA6NLw09EwE0CqkOc4q9oUmW1yo/edit?usp=sharing"",""นครสวรรค์!J140"")"),0)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IFERROR(__xludf.DUMMYFUNCTION("IMPORTRANGE(""https://docs.google.com/spreadsheets/d/11923uPwbBZFjjGgGUA6NLw09EwE0CqkOc4q9oUmW1yo/edit?usp=sharing"",""นครสวรรค์!I141"")"),0)</f>
        <v>0</v>
      </c>
      <c r="J216" s="203">
        <f ca="1">IFERROR(__xludf.DUMMYFUNCTION("IMPORTRANGE(""https://docs.google.com/spreadsheets/d/11923uPwbBZFjjGgGUA6NLw09EwE0CqkOc4q9oUmW1yo/edit?usp=sharing"",""นครสวรรค์!J141"")"),0)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IFERROR(__xludf.DUMMYFUNCTION("IMPORTRANGE(""https://docs.google.com/spreadsheets/d/11923uPwbBZFjjGgGUA6NLw09EwE0CqkOc4q9oUmW1yo/edit?usp=sharing"",""นครสวรรค์!J142"")"),0)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IFERROR(__xludf.DUMMYFUNCTION("IMPORTRANGE(""https://docs.google.com/spreadsheets/d/11923uPwbBZFjjGgGUA6NLw09EwE0CqkOc4q9oUmW1yo/edit?usp=sharing"",""นครสวรรค์!J143"")"),0)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IFERROR(__xludf.DUMMYFUNCTION("IMPORTRANGE(""https://docs.google.com/spreadsheets/d/11923uPwbBZFjjGgGUA6NLw09EwE0CqkOc4q9oUmW1yo/edit?usp=sharing"",""นครสวรรค์!I144"")"),15)</f>
        <v>15</v>
      </c>
      <c r="J219" s="266">
        <f ca="1">IFERROR(__xludf.DUMMYFUNCTION("IMPORTRANGE(""https://docs.google.com/spreadsheets/d/11923uPwbBZFjjGgGUA6NLw09EwE0CqkOc4q9oUmW1yo/edit?usp=sharing"",""นครสวรรค์!J144"")"),15)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21125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21125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IFERROR(__xludf.DUMMYFUNCTION("IMPORTRANGE(""https://docs.google.com/spreadsheets/d/1Yj_ptqi66GCucihVvJfMjLAmec39IyEx_6qawtMGysU/edit?usp=sharing"",""สบก!BS24"")"),21125)</f>
        <v>21125</v>
      </c>
      <c r="N224" s="168">
        <f ca="1">IFERROR(__xludf.DUMMYFUNCTION("IMPORTRANGE(""https://docs.google.com/spreadsheets/d/1Yj_ptqi66GCucihVvJfMjLAmec39IyEx_6qawtMGysU/edit?usp=sharing"",""สบก!BT24"")"),21125)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IFERROR(__xludf.DUMMYFUNCTION("IMPORTRANGE(""https://docs.google.com/spreadsheets/d/1Yj_ptqi66GCucihVvJfMjLAmec39IyEx_6qawtMGysU/edit?usp=sharing"",""สบก!BO24"")"),0)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IFERROR(__xludf.DUMMYFUNCTION("IMPORTRANGE(""https://docs.google.com/spreadsheets/d/1Yj_ptqi66GCucihVvJfMjLAmec39IyEx_6qawtMGysU/edit?usp=sharing"",""สบก!BP24"")"),21125)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IFERROR(__xludf.DUMMYFUNCTION("IMPORTRANGE(""https://docs.google.com/spreadsheets/d/1Yj_ptqi66GCucihVvJfMjLAmec39IyEx_6qawtMGysU/edit?usp=sharing"",""สบก!BQ24"")"),0)</f>
        <v>0</v>
      </c>
      <c r="M228" s="49"/>
      <c r="N228" s="49">
        <f ca="1">IFERROR(__xludf.DUMMYFUNCTION("IMPORTRANGE(""https://docs.google.com/spreadsheets/d/1Yj_ptqi66GCucihVvJfMjLAmec39IyEx_6qawtMGysU/edit?usp=sharing"",""สบก!BU24"")"),0)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IFERROR(__xludf.DUMMYFUNCTION("IMPORTRANGE(""https://docs.google.com/spreadsheets/d/11923uPwbBZFjjGgGUA6NLw09EwE0CqkOc4q9oUmW1yo/edit?usp=sharing"",""นครสวรรค์!I149"")"),15)</f>
        <v>15</v>
      </c>
      <c r="J229" s="266">
        <f ca="1">IFERROR(__xludf.DUMMYFUNCTION("IMPORTRANGE(""https://docs.google.com/spreadsheets/d/11923uPwbBZFjjGgGUA6NLw09EwE0CqkOc4q9oUmW1yo/edit?usp=sharing"",""นครสวรรค์!J149"")"),15)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IFERROR(__xludf.DUMMYFUNCTION("IMPORTRANGE(""https://docs.google.com/spreadsheets/d/11923uPwbBZFjjGgGUA6NLw09EwE0CqkOc4q9oUmW1yo/edit?usp=sharing"",""นครสวรรค์!J151"")"),0)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IFERROR(__xludf.DUMMYFUNCTION("IMPORTRANGE(""https://docs.google.com/spreadsheets/d/11923uPwbBZFjjGgGUA6NLw09EwE0CqkOc4q9oUmW1yo/edit?usp=sharing"",""นครสวรรค์!J152"")"),1)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IFERROR(__xludf.DUMMYFUNCTION("IMPORTRANGE(""https://docs.google.com/spreadsheets/d/11923uPwbBZFjjGgGUA6NLw09EwE0CqkOc4q9oUmW1yo/edit?usp=sharing"",""นครสวรรค์!J153"")"),1)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IFERROR(__xludf.DUMMYFUNCTION("IMPORTRANGE(""https://docs.google.com/spreadsheets/d/11923uPwbBZFjjGgGUA6NLw09EwE0CqkOc4q9oUmW1yo/edit?usp=sharing"",""นครสวรรค์!J154"")"),1)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IFERROR(__xludf.DUMMYFUNCTION("IMPORTRANGE(""https://docs.google.com/spreadsheets/d/11923uPwbBZFjjGgGUA6NLw09EwE0CqkOc4q9oUmW1yo/edit?usp=sharing"",""นครสวรรค์!I155"")"),15)</f>
        <v>15</v>
      </c>
      <c r="J235" s="188">
        <f ca="1">IFERROR(__xludf.DUMMYFUNCTION("IMPORTRANGE(""https://docs.google.com/spreadsheets/d/11923uPwbBZFjjGgGUA6NLw09EwE0CqkOc4q9oUmW1yo/edit?usp=sharing"",""นครสวรรค์!J155"")"),15)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IFERROR(__xludf.DUMMYFUNCTION("IMPORTRANGE(""https://docs.google.com/spreadsheets/d/11923uPwbBZFjjGgGUA6NLw09EwE0CqkOc4q9oUmW1yo/edit?usp=sharing"",""นครสวรรค์!J156"")"),0)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IFERROR(__xludf.DUMMYFUNCTION("IMPORTRANGE(""https://docs.google.com/spreadsheets/d/11923uPwbBZFjjGgGUA6NLw09EwE0CqkOc4q9oUmW1yo/edit?usp=sharing"",""นครสวรรค์!J157"")"),0)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IFERROR(__xludf.DUMMYFUNCTION("IMPORTRANGE(""https://docs.google.com/spreadsheets/d/11923uPwbBZFjjGgGUA6NLw09EwE0CqkOc4q9oUmW1yo/edit?usp=sharing"",""นครสวรรค์!I158"")"),0)</f>
        <v>0</v>
      </c>
      <c r="J238" s="266">
        <f ca="1">IFERROR(__xludf.DUMMYFUNCTION("IMPORTRANGE(""https://docs.google.com/spreadsheets/d/11923uPwbBZFjjGgGUA6NLw09EwE0CqkOc4q9oUmW1yo/edit?usp=sharing"",""นครสวรรค์!J158"")"),0)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IFERROR(__xludf.DUMMYFUNCTION("IMPORTRANGE(""https://docs.google.com/spreadsheets/d/11923uPwbBZFjjGgGUA6NLw09EwE0CqkOc4q9oUmW1yo/edit?usp=sharing"",""นครสวรรค์!J159"")"),"")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IFERROR(__xludf.DUMMYFUNCTION("IMPORTRANGE(""https://docs.google.com/spreadsheets/d/11923uPwbBZFjjGgGUA6NLw09EwE0CqkOc4q9oUmW1yo/edit?usp=sharing"",""นครสวรรค์!J161"")"),0)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IFERROR(__xludf.DUMMYFUNCTION("IMPORTRANGE(""https://docs.google.com/spreadsheets/d/11923uPwbBZFjjGgGUA6NLw09EwE0CqkOc4q9oUmW1yo/edit?usp=sharing"",""นครสวรรค์!J162"")"),0)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IFERROR(__xludf.DUMMYFUNCTION("IMPORTRANGE(""https://docs.google.com/spreadsheets/d/11923uPwbBZFjjGgGUA6NLw09EwE0CqkOc4q9oUmW1yo/edit?usp=sharing"",""นครสวรรค์!J163"")"),0)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IFERROR(__xludf.DUMMYFUNCTION("IMPORTRANGE(""https://docs.google.com/spreadsheets/d/11923uPwbBZFjjGgGUA6NLw09EwE0CqkOc4q9oUmW1yo/edit?usp=sharing"",""นครสวรรค์!I164"")"),0)</f>
        <v>0</v>
      </c>
      <c r="J244" s="187">
        <f ca="1">IFERROR(__xludf.DUMMYFUNCTION("IMPORTRANGE(""https://docs.google.com/spreadsheets/d/11923uPwbBZFjjGgGUA6NLw09EwE0CqkOc4q9oUmW1yo/edit?usp=sharing"",""นครสวรรค์!J164"")"),0)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IFERROR(__xludf.DUMMYFUNCTION("IMPORTRANGE(""https://docs.google.com/spreadsheets/d/11923uPwbBZFjjGgGUA6NLw09EwE0CqkOc4q9oUmW1yo/edit?usp=sharing"",""นครสวรรค์!J165"")"),0)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IFERROR(__xludf.DUMMYFUNCTION("IMPORTRANGE(""https://docs.google.com/spreadsheets/d/11923uPwbBZFjjGgGUA6NLw09EwE0CqkOc4q9oUmW1yo/edit?usp=sharing"",""นครสวรรค์!J166"")"),0)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IFERROR(__xludf.DUMMYFUNCTION("IMPORTRANGE(""https://docs.google.com/spreadsheets/d/11923uPwbBZFjjGgGUA6NLw09EwE0CqkOc4q9oUmW1yo/edit?usp=sharing"",""นครสวรรค์!I169"")"),25)</f>
        <v>25</v>
      </c>
      <c r="J249" s="314">
        <f ca="1">IFERROR(__xludf.DUMMYFUNCTION("IMPORTRANGE(""https://docs.google.com/spreadsheets/d/11923uPwbBZFjjGgGUA6NLw09EwE0CqkOc4q9oUmW1yo/edit?usp=sharing"",""นครสวรรค์!J169"")"),25)</f>
        <v>25</v>
      </c>
      <c r="K249" s="315">
        <f ca="1">IF(I249&gt;0,J249*100/I249,0)</f>
        <v>100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89000</v>
      </c>
      <c r="M250" s="151">
        <f t="shared" ca="1" si="77"/>
        <v>42500</v>
      </c>
      <c r="N250" s="151">
        <f t="shared" ca="1" si="77"/>
        <v>42144</v>
      </c>
      <c r="O250" s="150">
        <f t="shared" ref="O250:O252" ca="1" si="78">IF(L250&gt;0,N250*100/L250,0)</f>
        <v>47.352808988764046</v>
      </c>
      <c r="P250" s="150">
        <f t="shared" ref="P250:P252" ca="1" si="79">IF(M250&gt;0,N250*100/M250,0)</f>
        <v>99.162352941176465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89000</v>
      </c>
      <c r="M252" s="87">
        <f t="shared" ca="1" si="81"/>
        <v>42500</v>
      </c>
      <c r="N252" s="87">
        <f t="shared" ca="1" si="81"/>
        <v>42144</v>
      </c>
      <c r="O252" s="155">
        <f t="shared" ca="1" si="78"/>
        <v>47.352808988764046</v>
      </c>
      <c r="P252" s="155">
        <f t="shared" ca="1" si="79"/>
        <v>99.162352941176465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89000</v>
      </c>
      <c r="M254" s="167">
        <f ca="1">IFERROR(__xludf.DUMMYFUNCTION("IMPORTRANGE(""https://docs.google.com/spreadsheets/d/1Yj_ptqi66GCucihVvJfMjLAmec39IyEx_6qawtMGysU/edit?usp=sharing"",""สบก!CB24"")"),42500)</f>
        <v>42500</v>
      </c>
      <c r="N254" s="168">
        <f ca="1">IFERROR(__xludf.DUMMYFUNCTION("IMPORTRANGE(""https://docs.google.com/spreadsheets/d/1Yj_ptqi66GCucihVvJfMjLAmec39IyEx_6qawtMGysU/edit?usp=sharing"",""สบก!CC24"")"),42144)</f>
        <v>42144</v>
      </c>
      <c r="O254" s="168">
        <f ca="1">IF(L254&gt;0,N254*100/L254,0)</f>
        <v>47.352808988764046</v>
      </c>
      <c r="P254" s="168">
        <f ca="1">IF(M254&gt;0,N254*100/M254,0)</f>
        <v>99.162352941176465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IFERROR(__xludf.DUMMYFUNCTION("IMPORTRANGE(""https://docs.google.com/spreadsheets/d/1Yj_ptqi66GCucihVvJfMjLAmec39IyEx_6qawtMGysU/edit?usp=sharing"",""สบก!BX24"")"),0)</f>
        <v>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IFERROR(__xludf.DUMMYFUNCTION("IMPORTRANGE(""https://docs.google.com/spreadsheets/d/1Yj_ptqi66GCucihVvJfMjLAmec39IyEx_6qawtMGysU/edit?usp=sharing"",""สบก!BY24"")"),89000)</f>
        <v>89000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IFERROR(__xludf.DUMMYFUNCTION("IMPORTRANGE(""https://docs.google.com/spreadsheets/d/1Yj_ptqi66GCucihVvJfMjLAmec39IyEx_6qawtMGysU/edit?usp=sharing"",""สบก!BZ24"")"),0)</f>
        <v>0</v>
      </c>
      <c r="M258" s="49"/>
      <c r="N258" s="49">
        <f ca="1">IFERROR(__xludf.DUMMYFUNCTION("IMPORTRANGE(""https://docs.google.com/spreadsheets/d/1Yj_ptqi66GCucihVvJfMjLAmec39IyEx_6qawtMGysU/edit?usp=sharing"",""สบก!CD24"")"),0)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IFERROR(__xludf.DUMMYFUNCTION("IMPORTRANGE(""https://docs.google.com/spreadsheets/d/11923uPwbBZFjjGgGUA6NLw09EwE0CqkOc4q9oUmW1yo/edit?usp=sharing"",""นครสวรรค์!J175"")"),0)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IFERROR(__xludf.DUMMYFUNCTION("IMPORTRANGE(""https://docs.google.com/spreadsheets/d/11923uPwbBZFjjGgGUA6NLw09EwE0CqkOc4q9oUmW1yo/edit?usp=sharing"",""นครสวรรค์!J176"")"),1)</f>
        <v>1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IFERROR(__xludf.DUMMYFUNCTION("IMPORTRANGE(""https://docs.google.com/spreadsheets/d/11923uPwbBZFjjGgGUA6NLw09EwE0CqkOc4q9oUmW1yo/edit?usp=sharing"",""นครสวรรค์!J177"")"),1)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IFERROR(__xludf.DUMMYFUNCTION("IMPORTRANGE(""https://docs.google.com/spreadsheets/d/11923uPwbBZFjjGgGUA6NLw09EwE0CqkOc4q9oUmW1yo/edit?usp=sharing"",""นครสวรรค์!J178"")"),1)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IFERROR(__xludf.DUMMYFUNCTION("IMPORTRANGE(""https://docs.google.com/spreadsheets/d/11923uPwbBZFjjGgGUA6NLw09EwE0CqkOc4q9oUmW1yo/edit?usp=sharing"",""นครสวรรค์!I179"")"),1)</f>
        <v>1</v>
      </c>
      <c r="J264" s="188">
        <f ca="1">IFERROR(__xludf.DUMMYFUNCTION("IMPORTRANGE(""https://docs.google.com/spreadsheets/d/11923uPwbBZFjjGgGUA6NLw09EwE0CqkOc4q9oUmW1yo/edit?usp=sharing"",""นครสวรรค์!J179"")"),2)</f>
        <v>2</v>
      </c>
      <c r="K264" s="163">
        <f t="shared" ref="K264:K267" ca="1" si="82">IF(I264&gt;0,J264*100/I264,0)</f>
        <v>200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IFERROR(__xludf.DUMMYFUNCTION("IMPORTRANGE(""https://docs.google.com/spreadsheets/d/11923uPwbBZFjjGgGUA6NLw09EwE0CqkOc4q9oUmW1yo/edit?usp=sharing"",""นครสวรรค์!I180"")"),25)</f>
        <v>25</v>
      </c>
      <c r="J265" s="188">
        <f ca="1">IFERROR(__xludf.DUMMYFUNCTION("IMPORTRANGE(""https://docs.google.com/spreadsheets/d/11923uPwbBZFjjGgGUA6NLw09EwE0CqkOc4q9oUmW1yo/edit?usp=sharing"",""นครสวรรค์!J180"")"),25)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IFERROR(__xludf.DUMMYFUNCTION("IMPORTRANGE(""https://docs.google.com/spreadsheets/d/11923uPwbBZFjjGgGUA6NLw09EwE0CqkOc4q9oUmW1yo/edit?usp=sharing"",""นครสวรรค์!I181"")"),25)</f>
        <v>25</v>
      </c>
      <c r="J266" s="188">
        <f ca="1">IFERROR(__xludf.DUMMYFUNCTION("IMPORTRANGE(""https://docs.google.com/spreadsheets/d/11923uPwbBZFjjGgGUA6NLw09EwE0CqkOc4q9oUmW1yo/edit?usp=sharing"",""นครสวรรค์!J181"")"),0)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IFERROR(__xludf.DUMMYFUNCTION("IMPORTRANGE(""https://docs.google.com/spreadsheets/d/11923uPwbBZFjjGgGUA6NLw09EwE0CqkOc4q9oUmW1yo/edit?usp=sharing"",""นครสวรรค์!I182"")"),1)</f>
        <v>1</v>
      </c>
      <c r="J267" s="188">
        <f ca="1">IFERROR(__xludf.DUMMYFUNCTION("IMPORTRANGE(""https://docs.google.com/spreadsheets/d/11923uPwbBZFjjGgGUA6NLw09EwE0CqkOc4q9oUmW1yo/edit?usp=sharing"",""นครสวรรค์!J182"")"),2)</f>
        <v>2</v>
      </c>
      <c r="K267" s="163">
        <f t="shared" ca="1" si="82"/>
        <v>200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IFERROR(__xludf.DUMMYFUNCTION("IMPORTRANGE(""https://docs.google.com/spreadsheets/d/11923uPwbBZFjjGgGUA6NLw09EwE0CqkOc4q9oUmW1yo/edit?usp=sharing"",""นครสวรรค์!J183"")"),0)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IFERROR(__xludf.DUMMYFUNCTION("IMPORTRANGE(""https://docs.google.com/spreadsheets/d/11923uPwbBZFjjGgGUA6NLw09EwE0CqkOc4q9oUmW1yo/edit?usp=sharing"",""นครสวรรค์!J184"")"),0)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IFERROR(__xludf.DUMMYFUNCTION("IMPORTRANGE(""https://docs.google.com/spreadsheets/d/11923uPwbBZFjjGgGUA6NLw09EwE0CqkOc4q9oUmW1yo/edit?usp=sharing"",""นครสวรรค์!I185"")"),20)</f>
        <v>20</v>
      </c>
      <c r="J270" s="314">
        <f ca="1">IFERROR(__xludf.DUMMYFUNCTION("IMPORTRANGE(""https://docs.google.com/spreadsheets/d/11923uPwbBZFjjGgGUA6NLw09EwE0CqkOc4q9oUmW1yo/edit?usp=sharing"",""นครสวรรค์!J185"")"),20)</f>
        <v>20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183600</v>
      </c>
      <c r="M271" s="151">
        <f t="shared" ca="1" si="83"/>
        <v>93000</v>
      </c>
      <c r="N271" s="151">
        <f t="shared" ca="1" si="83"/>
        <v>83928</v>
      </c>
      <c r="O271" s="150">
        <f t="shared" ref="O271:O273" ca="1" si="84">IF(L271&gt;0,N271*100/L271,0)</f>
        <v>45.712418300653596</v>
      </c>
      <c r="P271" s="150">
        <f t="shared" ref="P271:P273" ca="1" si="85">IF(M271&gt;0,N271*100/M271,0)</f>
        <v>90.245161290322585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183600</v>
      </c>
      <c r="M273" s="87">
        <f t="shared" ca="1" si="87"/>
        <v>93000</v>
      </c>
      <c r="N273" s="87">
        <f t="shared" ca="1" si="87"/>
        <v>83928</v>
      </c>
      <c r="O273" s="155">
        <f t="shared" ca="1" si="84"/>
        <v>45.712418300653596</v>
      </c>
      <c r="P273" s="155">
        <f t="shared" ca="1" si="85"/>
        <v>90.245161290322585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IFERROR(__xludf.DUMMYFUNCTION("IMPORTRANGE(""https://docs.google.com/spreadsheets/d/1Yj_ptqi66GCucihVvJfMjLAmec39IyEx_6qawtMGysU/edit?usp=sharing"",""สบก!CK24"")"),93000)</f>
        <v>93000</v>
      </c>
      <c r="N275" s="168">
        <f ca="1">IFERROR(__xludf.DUMMYFUNCTION("IMPORTRANGE(""https://docs.google.com/spreadsheets/d/1Yj_ptqi66GCucihVvJfMjLAmec39IyEx_6qawtMGysU/edit?usp=sharing"",""สบก!CL24"")"),83928)</f>
        <v>83928</v>
      </c>
      <c r="O275" s="168">
        <f ca="1">IF(L275&gt;0,N275*100/L275,0)</f>
        <v>45.712418300653596</v>
      </c>
      <c r="P275" s="168">
        <f ca="1">IF(M275&gt;0,N275*100/M275,0)</f>
        <v>90.245161290322585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IFERROR(__xludf.DUMMYFUNCTION("IMPORTRANGE(""https://docs.google.com/spreadsheets/d/1Yj_ptqi66GCucihVvJfMjLAmec39IyEx_6qawtMGysU/edit?usp=sharing"",""สบก!CG24"")"),0)</f>
        <v>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IFERROR(__xludf.DUMMYFUNCTION("IMPORTRANGE(""https://docs.google.com/spreadsheets/d/1Yj_ptqi66GCucihVvJfMjLAmec39IyEx_6qawtMGysU/edit?usp=sharing"",""สบก!CH24"")"),183600)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IFERROR(__xludf.DUMMYFUNCTION("IMPORTRANGE(""https://docs.google.com/spreadsheets/d/1Yj_ptqi66GCucihVvJfMjLAmec39IyEx_6qawtMGysU/edit?usp=sharing"",""สบก!CI24"")"),0)</f>
        <v>0</v>
      </c>
      <c r="M279" s="49"/>
      <c r="N279" s="49">
        <f ca="1">IFERROR(__xludf.DUMMYFUNCTION("IMPORTRANGE(""https://docs.google.com/spreadsheets/d/1Yj_ptqi66GCucihVvJfMjLAmec39IyEx_6qawtMGysU/edit?usp=sharing"",""สบก!CM24"")"),0)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IFERROR(__xludf.DUMMYFUNCTION("IMPORTRANGE(""https://docs.google.com/spreadsheets/d/11923uPwbBZFjjGgGUA6NLw09EwE0CqkOc4q9oUmW1yo/edit?usp=sharing"",""นครสวรรค์!J191"")"),0)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IFERROR(__xludf.DUMMYFUNCTION("IMPORTRANGE(""https://docs.google.com/spreadsheets/d/11923uPwbBZFjjGgGUA6NLw09EwE0CqkOc4q9oUmW1yo/edit?usp=sharing"",""นครสวรรค์!J192"")"),1)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IFERROR(__xludf.DUMMYFUNCTION("IMPORTRANGE(""https://docs.google.com/spreadsheets/d/11923uPwbBZFjjGgGUA6NLw09EwE0CqkOc4q9oUmW1yo/edit?usp=sharing"",""นครสวรรค์!J193"")"),1)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IFERROR(__xludf.DUMMYFUNCTION("IMPORTRANGE(""https://docs.google.com/spreadsheets/d/11923uPwbBZFjjGgGUA6NLw09EwE0CqkOc4q9oUmW1yo/edit?usp=sharing"",""นครสวรรค์!J194"")"),1)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IFERROR(__xludf.DUMMYFUNCTION("IMPORTRANGE(""https://docs.google.com/spreadsheets/d/11923uPwbBZFjjGgGUA6NLw09EwE0CqkOc4q9oUmW1yo/edit?usp=sharing"",""นครสวรรค์!I195"")"),20)</f>
        <v>20</v>
      </c>
      <c r="J285" s="188">
        <f ca="1">IFERROR(__xludf.DUMMYFUNCTION("IMPORTRANGE(""https://docs.google.com/spreadsheets/d/11923uPwbBZFjjGgGUA6NLw09EwE0CqkOc4q9oUmW1yo/edit?usp=sharing"",""นครสวรรค์!J195"")"),20)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IFERROR(__xludf.DUMMYFUNCTION("IMPORTRANGE(""https://docs.google.com/spreadsheets/d/11923uPwbBZFjjGgGUA6NLw09EwE0CqkOc4q9oUmW1yo/edit?usp=sharing"",""นครสวรรค์!J196"")"),0)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IFERROR(__xludf.DUMMYFUNCTION("IMPORTRANGE(""https://docs.google.com/spreadsheets/d/11923uPwbBZFjjGgGUA6NLw09EwE0CqkOc4q9oUmW1yo/edit?usp=sharing"",""นครสวรรค์!J197"")"),0)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IFERROR(__xludf.DUMMYFUNCTION("IMPORTRANGE(""https://docs.google.com/spreadsheets/d/11923uPwbBZFjjGgGUA6NLw09EwE0CqkOc4q9oUmW1yo/edit?usp=sharing"",""นครสวรรค์!I199"")"),0)</f>
        <v>0</v>
      </c>
      <c r="J289" s="314">
        <f ca="1">IFERROR(__xludf.DUMMYFUNCTION("IMPORTRANGE(""https://docs.google.com/spreadsheets/d/11923uPwbBZFjjGgGUA6NLw09EwE0CqkOc4q9oUmW1yo/edit?usp=sharing"",""นครสวรรค์!J199"")"),0)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IFERROR(__xludf.DUMMYFUNCTION("IMPORTRANGE(""https://docs.google.com/spreadsheets/d/1Yj_ptqi66GCucihVvJfMjLAmec39IyEx_6qawtMGysU/edit?usp=sharing"",""สบก!CT24"")"),0)</f>
        <v>0</v>
      </c>
      <c r="N294" s="168">
        <f ca="1">IFERROR(__xludf.DUMMYFUNCTION("IMPORTRANGE(""https://docs.google.com/spreadsheets/d/1Yj_ptqi66GCucihVvJfMjLAmec39IyEx_6qawtMGysU/edit?usp=sharing"",""สบก!CU24"")"),0)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IFERROR(__xludf.DUMMYFUNCTION("IMPORTRANGE(""https://docs.google.com/spreadsheets/d/1Yj_ptqi66GCucihVvJfMjLAmec39IyEx_6qawtMGysU/edit?usp=sharing"",""สบก!CP24"")"),0)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IFERROR(__xludf.DUMMYFUNCTION("IMPORTRANGE(""https://docs.google.com/spreadsheets/d/1Yj_ptqi66GCucihVvJfMjLAmec39IyEx_6qawtMGysU/edit?usp=sharing"",""สบก!CQ24"")"),0)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IFERROR(__xludf.DUMMYFUNCTION("IMPORTRANGE(""https://docs.google.com/spreadsheets/d/1Yj_ptqi66GCucihVvJfMjLAmec39IyEx_6qawtMGysU/edit?usp=sharing"",""สบก!CR24"")"),0)</f>
        <v>0</v>
      </c>
      <c r="M298" s="49"/>
      <c r="N298" s="49">
        <f ca="1">IFERROR(__xludf.DUMMYFUNCTION("IMPORTRANGE(""https://docs.google.com/spreadsheets/d/1Yj_ptqi66GCucihVvJfMjLAmec39IyEx_6qawtMGysU/edit?usp=sharing"",""สบก!CV24"")"),0)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IFERROR(__xludf.DUMMYFUNCTION("IMPORTRANGE(""https://docs.google.com/spreadsheets/d/11923uPwbBZFjjGgGUA6NLw09EwE0CqkOc4q9oUmW1yo/edit?usp=sharing"",""นครสวรรค์!J205"")"),0)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IFERROR(__xludf.DUMMYFUNCTION("IMPORTRANGE(""https://docs.google.com/spreadsheets/d/11923uPwbBZFjjGgGUA6NLw09EwE0CqkOc4q9oUmW1yo/edit?usp=sharing"",""นครสวรรค์!J206"")"),0)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IFERROR(__xludf.DUMMYFUNCTION("IMPORTRANGE(""https://docs.google.com/spreadsheets/d/11923uPwbBZFjjGgGUA6NLw09EwE0CqkOc4q9oUmW1yo/edit?usp=sharing"",""นครสวรรค์!J207"")"),0)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IFERROR(__xludf.DUMMYFUNCTION("IMPORTRANGE(""https://docs.google.com/spreadsheets/d/11923uPwbBZFjjGgGUA6NLw09EwE0CqkOc4q9oUmW1yo/edit?usp=sharing"",""นครสวรรค์!J208"")"),0)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IFERROR(__xludf.DUMMYFUNCTION("IMPORTRANGE(""https://docs.google.com/spreadsheets/d/11923uPwbBZFjjGgGUA6NLw09EwE0CqkOc4q9oUmW1yo/edit?usp=sharing"",""นครสวรรค์!I209"")"),0)</f>
        <v>0</v>
      </c>
      <c r="J304" s="203">
        <f ca="1">IFERROR(__xludf.DUMMYFUNCTION("IMPORTRANGE(""https://docs.google.com/spreadsheets/d/11923uPwbBZFjjGgGUA6NLw09EwE0CqkOc4q9oUmW1yo/edit?usp=sharing"",""นครสวรรค์!J209"")"),0)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IFERROR(__xludf.DUMMYFUNCTION("IMPORTRANGE(""https://docs.google.com/spreadsheets/d/11923uPwbBZFjjGgGUA6NLw09EwE0CqkOc4q9oUmW1yo/edit?usp=sharing"",""นครสวรรค์!I211"")"),0)</f>
        <v>0</v>
      </c>
      <c r="J306" s="203">
        <f ca="1">IFERROR(__xludf.DUMMYFUNCTION("IMPORTRANGE(""https://docs.google.com/spreadsheets/d/11923uPwbBZFjjGgGUA6NLw09EwE0CqkOc4q9oUmW1yo/edit?usp=sharing"",""นครสวรรค์!J211"")"),0)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IFERROR(__xludf.DUMMYFUNCTION("IMPORTRANGE(""https://docs.google.com/spreadsheets/d/11923uPwbBZFjjGgGUA6NLw09EwE0CqkOc4q9oUmW1yo/edit?usp=sharing"",""นครสวรรค์!J212"")"),0)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IFERROR(__xludf.DUMMYFUNCTION("IMPORTRANGE(""https://docs.google.com/spreadsheets/d/11923uPwbBZFjjGgGUA6NLw09EwE0CqkOc4q9oUmW1yo/edit?usp=sharing"",""นครสวรรค์!J213"")"),0)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IFERROR(__xludf.DUMMYFUNCTION("IMPORTRANGE(""https://docs.google.com/spreadsheets/d/11923uPwbBZFjjGgGUA6NLw09EwE0CqkOc4q9oUmW1yo/edit?usp=sharing"",""นครสวรรค์!I214"")"),0)</f>
        <v>0</v>
      </c>
      <c r="J309" s="331">
        <f ca="1">IFERROR(__xludf.DUMMYFUNCTION("IMPORTRANGE(""https://docs.google.com/spreadsheets/d/11923uPwbBZFjjGgGUA6NLw09EwE0CqkOc4q9oUmW1yo/edit?usp=sharing"",""นครสวรรค์!J214"")"),0)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IFERROR(__xludf.DUMMYFUNCTION("IMPORTRANGE(""https://docs.google.com/spreadsheets/d/1Yj_ptqi66GCucihVvJfMjLAmec39IyEx_6qawtMGysU/edit?usp=sharing"",""สบก!DC24"")"),0)</f>
        <v>0</v>
      </c>
      <c r="N314" s="168">
        <f ca="1">IFERROR(__xludf.DUMMYFUNCTION("IMPORTRANGE(""https://docs.google.com/spreadsheets/d/1Yj_ptqi66GCucihVvJfMjLAmec39IyEx_6qawtMGysU/edit?usp=sharing"",""สบก!DD24"")"),0)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IFERROR(__xludf.DUMMYFUNCTION("IMPORTRANGE(""https://docs.google.com/spreadsheets/d/1Yj_ptqi66GCucihVvJfMjLAmec39IyEx_6qawtMGysU/edit?usp=sharing"",""สบก!CY24"")"),0)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IFERROR(__xludf.DUMMYFUNCTION("IMPORTRANGE(""https://docs.google.com/spreadsheets/d/1Yj_ptqi66GCucihVvJfMjLAmec39IyEx_6qawtMGysU/edit?usp=sharing"",""สบก!CZ24"")"),0)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IFERROR(__xludf.DUMMYFUNCTION("IMPORTRANGE(""https://docs.google.com/spreadsheets/d/1Yj_ptqi66GCucihVvJfMjLAmec39IyEx_6qawtMGysU/edit?usp=sharing"",""สบก!DA24"")"),0)</f>
        <v>0</v>
      </c>
      <c r="M318" s="49"/>
      <c r="N318" s="49">
        <f ca="1">IFERROR(__xludf.DUMMYFUNCTION("IMPORTRANGE(""https://docs.google.com/spreadsheets/d/1Yj_ptqi66GCucihVvJfMjLAmec39IyEx_6qawtMGysU/edit?usp=sharing"",""สบก!DE24"")"),0)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IFERROR(__xludf.DUMMYFUNCTION("IMPORTRANGE(""https://docs.google.com/spreadsheets/d/11923uPwbBZFjjGgGUA6NLw09EwE0CqkOc4q9oUmW1yo/edit?usp=sharing"",""นครสวรรค์!J220"")"),0)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IFERROR(__xludf.DUMMYFUNCTION("IMPORTRANGE(""https://docs.google.com/spreadsheets/d/11923uPwbBZFjjGgGUA6NLw09EwE0CqkOc4q9oUmW1yo/edit?usp=sharing"",""นครสวรรค์!J221"")"),0)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IFERROR(__xludf.DUMMYFUNCTION("IMPORTRANGE(""https://docs.google.com/spreadsheets/d/11923uPwbBZFjjGgGUA6NLw09EwE0CqkOc4q9oUmW1yo/edit?usp=sharing"",""นครสวรรค์!J222"")"),0)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IFERROR(__xludf.DUMMYFUNCTION("IMPORTRANGE(""https://docs.google.com/spreadsheets/d/11923uPwbBZFjjGgGUA6NLw09EwE0CqkOc4q9oUmW1yo/edit?usp=sharing"",""นครสวรรค์!J223"")"),0)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IFERROR(__xludf.DUMMYFUNCTION("IMPORTRANGE(""https://docs.google.com/spreadsheets/d/11923uPwbBZFjjGgGUA6NLw09EwE0CqkOc4q9oUmW1yo/edit?usp=sharing"",""นครสวรรค์!I224"")"),0)</f>
        <v>0</v>
      </c>
      <c r="J324" s="203">
        <f ca="1">IFERROR(__xludf.DUMMYFUNCTION("IMPORTRANGE(""https://docs.google.com/spreadsheets/d/11923uPwbBZFjjGgGUA6NLw09EwE0CqkOc4q9oUmW1yo/edit?usp=sharing"",""นครสวรรค์!J224"")"),0)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IFERROR(__xludf.DUMMYFUNCTION("IMPORTRANGE(""https://docs.google.com/spreadsheets/d/11923uPwbBZFjjGgGUA6NLw09EwE0CqkOc4q9oUmW1yo/edit?usp=sharing"",""นครสวรรค์!J225"")"),0)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IFERROR(__xludf.DUMMYFUNCTION("IMPORTRANGE(""https://docs.google.com/spreadsheets/d/11923uPwbBZFjjGgGUA6NLw09EwE0CqkOc4q9oUmW1yo/edit?usp=sharing"",""นครสวรรค์!J226"")"),0)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IFERROR(__xludf.DUMMYFUNCTION("IMPORTRANGE(""https://docs.google.com/spreadsheets/d/11923uPwbBZFjjGgGUA6NLw09EwE0CqkOc4q9oUmW1yo/edit?usp=sharing"",""นครสวรรค์!I228"")"),430)</f>
        <v>430</v>
      </c>
      <c r="J328" s="337">
        <f ca="1">IFERROR(__xludf.DUMMYFUNCTION("IMPORTRANGE(""https://docs.google.com/spreadsheets/d/11923uPwbBZFjjGgGUA6NLw09EwE0CqkOc4q9oUmW1yo/edit?usp=sharing"",""นครสวรรค์!J228"")"),25)</f>
        <v>25</v>
      </c>
      <c r="K328" s="315">
        <f ca="1">IF(I328&gt;0,J328*100/I328,0)</f>
        <v>5.8139534883720927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1224950</v>
      </c>
      <c r="M329" s="151">
        <f t="shared" ca="1" si="98"/>
        <v>732380</v>
      </c>
      <c r="N329" s="151">
        <f t="shared" ca="1" si="98"/>
        <v>533149</v>
      </c>
      <c r="O329" s="150">
        <f t="shared" ref="O329:O331" ca="1" si="99">IF(L329&gt;0,N329*100/L329,0)</f>
        <v>43.524143842605824</v>
      </c>
      <c r="P329" s="150">
        <f t="shared" ref="P329:P331" ca="1" si="100">IF(M329&gt;0,N329*100/M329,0)</f>
        <v>72.796772167454051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1224950</v>
      </c>
      <c r="M331" s="87">
        <f t="shared" ca="1" si="102"/>
        <v>732380</v>
      </c>
      <c r="N331" s="87">
        <f t="shared" ca="1" si="102"/>
        <v>533149</v>
      </c>
      <c r="O331" s="155">
        <f t="shared" ca="1" si="99"/>
        <v>43.524143842605824</v>
      </c>
      <c r="P331" s="155">
        <f t="shared" ca="1" si="100"/>
        <v>72.796772167454051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1119950</v>
      </c>
      <c r="M333" s="167">
        <f ca="1">IFERROR(__xludf.DUMMYFUNCTION("IMPORTRANGE(""https://docs.google.com/spreadsheets/d/1Yj_ptqi66GCucihVvJfMjLAmec39IyEx_6qawtMGysU/edit?usp=sharing"",""สบก!DL24"")"),627380)</f>
        <v>627380</v>
      </c>
      <c r="N333" s="168">
        <f ca="1">IFERROR(__xludf.DUMMYFUNCTION("IMPORTRANGE(""https://docs.google.com/spreadsheets/d/1Yj_ptqi66GCucihVvJfMjLAmec39IyEx_6qawtMGysU/edit?usp=sharing"",""สบก!DM24"")"),428149)</f>
        <v>428149</v>
      </c>
      <c r="O333" s="168">
        <f ca="1">IF(L333&gt;0,N333*100/L333,0)</f>
        <v>38.229295950712086</v>
      </c>
      <c r="P333" s="168">
        <f ca="1">IF(M333&gt;0,N333*100/M333,0)</f>
        <v>68.243966973763904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IFERROR(__xludf.DUMMYFUNCTION("IMPORTRANGE(""https://docs.google.com/spreadsheets/d/1Yj_ptqi66GCucihVvJfMjLAmec39IyEx_6qawtMGysU/edit?usp=sharing"",""สบก!DH24"")"),529200)</f>
        <v>529200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IFERROR(__xludf.DUMMYFUNCTION("IMPORTRANGE(""https://docs.google.com/spreadsheets/d/1Yj_ptqi66GCucihVvJfMjLAmec39IyEx_6qawtMGysU/edit?usp=sharing"",""สบก!DI24"")"),590750)</f>
        <v>590750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IFERROR(__xludf.DUMMYFUNCTION("IMPORTRANGE(""https://docs.google.com/spreadsheets/d/1Yj_ptqi66GCucihVvJfMjLAmec39IyEx_6qawtMGysU/edit?usp=sharing"",""สบก!DJ24"")"),105000)</f>
        <v>105000</v>
      </c>
      <c r="M337" s="49">
        <f ca="1">L337</f>
        <v>105000</v>
      </c>
      <c r="N337" s="49">
        <f ca="1">IFERROR(__xludf.DUMMYFUNCTION("IMPORTRANGE(""https://docs.google.com/spreadsheets/d/1Yj_ptqi66GCucihVvJfMjLAmec39IyEx_6qawtMGysU/edit?usp=sharing"",""สบก!DN24"")"),105000)</f>
        <v>105000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IFERROR(__xludf.DUMMYFUNCTION("IMPORTRANGE(""https://docs.google.com/spreadsheets/d/11923uPwbBZFjjGgGUA6NLw09EwE0CqkOc4q9oUmW1yo/edit?usp=sharing"",""นครสวรรค์!I234"")"),0)</f>
        <v>0</v>
      </c>
      <c r="J339" s="187">
        <f ca="1">IFERROR(__xludf.DUMMYFUNCTION("IMPORTRANGE(""https://docs.google.com/spreadsheets/d/11923uPwbBZFjjGgGUA6NLw09EwE0CqkOc4q9oUmW1yo/edit?usp=sharing"",""นครสวรรค์!J234"")"),257)</f>
        <v>257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IFERROR(__xludf.DUMMYFUNCTION("IMPORTRANGE(""https://docs.google.com/spreadsheets/d/11923uPwbBZFjjGgGUA6NLw09EwE0CqkOc4q9oUmW1yo/edit?usp=sharing"",""นครสวรรค์!I235"")"),4200)</f>
        <v>4200</v>
      </c>
      <c r="J340" s="187">
        <f ca="1">IFERROR(__xludf.DUMMYFUNCTION("IMPORTRANGE(""https://docs.google.com/spreadsheets/d/11923uPwbBZFjjGgGUA6NLw09EwE0CqkOc4q9oUmW1yo/edit?usp=sharing"",""นครสวรรค์!J235"")"),2443.77999999999)</f>
        <v>2443.7799999999902</v>
      </c>
      <c r="K340" s="340">
        <f t="shared" ca="1" si="103"/>
        <v>58.185238095237857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IFERROR(__xludf.DUMMYFUNCTION("IMPORTRANGE(""https://docs.google.com/spreadsheets/d/11923uPwbBZFjjGgGUA6NLw09EwE0CqkOc4q9oUmW1yo/edit?usp=sharing"",""นครสวรรค์!I236"")"),430)</f>
        <v>430</v>
      </c>
      <c r="J341" s="187">
        <f ca="1">IFERROR(__xludf.DUMMYFUNCTION("IMPORTRANGE(""https://docs.google.com/spreadsheets/d/11923uPwbBZFjjGgGUA6NLw09EwE0CqkOc4q9oUmW1yo/edit?usp=sharing"",""นครสวรรค์!J236"")"),77)</f>
        <v>77</v>
      </c>
      <c r="K341" s="340">
        <f t="shared" ca="1" si="103"/>
        <v>17.906976744186046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IFERROR(__xludf.DUMMYFUNCTION("IMPORTRANGE(""https://docs.google.com/spreadsheets/d/11923uPwbBZFjjGgGUA6NLw09EwE0CqkOc4q9oUmW1yo/edit?usp=sharing"",""นครสวรรค์!I237"")"),0)</f>
        <v>0</v>
      </c>
      <c r="J342" s="187">
        <f ca="1">IFERROR(__xludf.DUMMYFUNCTION("IMPORTRANGE(""https://docs.google.com/spreadsheets/d/11923uPwbBZFjjGgGUA6NLw09EwE0CqkOc4q9oUmW1yo/edit?usp=sharing"",""นครสวรรค์!J237"")"),929.49)</f>
        <v>929.49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IFERROR(__xludf.DUMMYFUNCTION("IMPORTRANGE(""https://docs.google.com/spreadsheets/d/11923uPwbBZFjjGgGUA6NLw09EwE0CqkOc4q9oUmW1yo/edit?usp=sharing"",""นครสวรรค์!I238"")"),430)</f>
        <v>430</v>
      </c>
      <c r="J343" s="187">
        <f ca="1">IFERROR(__xludf.DUMMYFUNCTION("IMPORTRANGE(""https://docs.google.com/spreadsheets/d/11923uPwbBZFjjGgGUA6NLw09EwE0CqkOc4q9oUmW1yo/edit?usp=sharing"",""นครสวรรค์!J238"")"),0)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IFERROR(__xludf.DUMMYFUNCTION("IMPORTRANGE(""https://docs.google.com/spreadsheets/d/11923uPwbBZFjjGgGUA6NLw09EwE0CqkOc4q9oUmW1yo/edit?usp=sharing"",""นครสวรรค์!I239"")"),0)</f>
        <v>0</v>
      </c>
      <c r="J344" s="187">
        <f ca="1">IFERROR(__xludf.DUMMYFUNCTION("IMPORTRANGE(""https://docs.google.com/spreadsheets/d/11923uPwbBZFjjGgGUA6NLw09EwE0CqkOc4q9oUmW1yo/edit?usp=sharing"",""นครสวรรค์!J239"")"),0)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IFERROR(__xludf.DUMMYFUNCTION("IMPORTRANGE(""https://docs.google.com/spreadsheets/d/11923uPwbBZFjjGgGUA6NLw09EwE0CqkOc4q9oUmW1yo/edit?usp=sharing"",""นครสวรรค์!I240"")"),430)</f>
        <v>430</v>
      </c>
      <c r="J345" s="187">
        <f ca="1">IFERROR(__xludf.DUMMYFUNCTION("IMPORTRANGE(""https://docs.google.com/spreadsheets/d/11923uPwbBZFjjGgGUA6NLw09EwE0CqkOc4q9oUmW1yo/edit?usp=sharing"",""นครสวรรค์!J240"")"),25)</f>
        <v>25</v>
      </c>
      <c r="K345" s="340">
        <f t="shared" ca="1" si="103"/>
        <v>5.8139534883720927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IFERROR(__xludf.DUMMYFUNCTION("IMPORTRANGE(""https://docs.google.com/spreadsheets/d/11923uPwbBZFjjGgGUA6NLw09EwE0CqkOc4q9oUmW1yo/edit?usp=sharing"",""นครสวรรค์!I241"")"),0)</f>
        <v>0</v>
      </c>
      <c r="J346" s="187">
        <f ca="1">IFERROR(__xludf.DUMMYFUNCTION("IMPORTRANGE(""https://docs.google.com/spreadsheets/d/11923uPwbBZFjjGgGUA6NLw09EwE0CqkOc4q9oUmW1yo/edit?usp=sharing"",""นครสวรรค์!J241"")"),485.88)</f>
        <v>485.88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IFERROR(__xludf.DUMMYFUNCTION("IMPORTRANGE(""https://docs.google.com/spreadsheets/d/11923uPwbBZFjjGgGUA6NLw09EwE0CqkOc4q9oUmW1yo/edit?usp=sharing"",""นครสวรรค์!L242"")"),2098413)</f>
        <v>2098413</v>
      </c>
      <c r="M347" s="356"/>
      <c r="N347" s="356">
        <f ca="1">IFERROR(__xludf.DUMMYFUNCTION("IMPORTRANGE(""https://docs.google.com/spreadsheets/d/11923uPwbBZFjjGgGUA6NLw09EwE0CqkOc4q9oUmW1yo/edit?usp=sharing"",""นครสวรรค์!M242"")"),631348)</f>
        <v>631348</v>
      </c>
      <c r="O347" s="356">
        <f ca="1">+IF(L347&gt;0,N347*100/L347,0)</f>
        <v>30.086927597188922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IFERROR(__xludf.DUMMYFUNCTION("IMPORTRANGE(""https://docs.google.com/spreadsheets/d/11923uPwbBZFjjGgGUA6NLw09EwE0CqkOc4q9oUmW1yo/edit?usp=sharing"",""นครสวรรค์!I244"")"),110)</f>
        <v>110</v>
      </c>
      <c r="J349" s="369">
        <f ca="1">IFERROR(__xludf.DUMMYFUNCTION("IMPORTRANGE(""https://docs.google.com/spreadsheets/d/11923uPwbBZFjjGgGUA6NLw09EwE0CqkOc4q9oUmW1yo/edit?usp=sharing"",""นครสวรรค์!J244"")"),40)</f>
        <v>40</v>
      </c>
      <c r="K349" s="370">
        <f t="shared" ref="K349:K350" ca="1" si="104">IF(I349&gt;0,J349*100/I349,0)</f>
        <v>36.363636363636367</v>
      </c>
      <c r="L349" s="371">
        <f ca="1">IFERROR(__xludf.DUMMYFUNCTION("IMPORTRANGE(""https://docs.google.com/spreadsheets/d/11923uPwbBZFjjGgGUA6NLw09EwE0CqkOc4q9oUmW1yo/edit?usp=sharing"",""นครสวรรค์!L244"")"),354030)</f>
        <v>354030</v>
      </c>
      <c r="M349" s="371"/>
      <c r="N349" s="371">
        <f ca="1">IFERROR(__xludf.DUMMYFUNCTION("IMPORTRANGE(""https://docs.google.com/spreadsheets/d/11923uPwbBZFjjGgGUA6NLw09EwE0CqkOc4q9oUmW1yo/edit?usp=sharing"",""นครสวรรค์!M244"")"),156018)</f>
        <v>156018</v>
      </c>
      <c r="O349" s="371">
        <f ca="1">+IF(L349&gt;0,N349*100/L349,0)</f>
        <v>44.069146682484536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IFERROR(__xludf.DUMMYFUNCTION("IMPORTRANGE(""https://docs.google.com/spreadsheets/d/11923uPwbBZFjjGgGUA6NLw09EwE0CqkOc4q9oUmW1yo/edit?usp=sharing"",""นครสวรรค์!I245"")"),55)</f>
        <v>55</v>
      </c>
      <c r="J350" s="369">
        <f ca="1">IFERROR(__xludf.DUMMYFUNCTION("IMPORTRANGE(""https://docs.google.com/spreadsheets/d/11923uPwbBZFjjGgGUA6NLw09EwE0CqkOc4q9oUmW1yo/edit?usp=sharing"",""นครสวรรค์!J245"")"),55)</f>
        <v>55</v>
      </c>
      <c r="K350" s="370">
        <f t="shared" ca="1" si="104"/>
        <v>100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IFERROR(__xludf.DUMMYFUNCTION("IMPORTRANGE(""https://docs.google.com/spreadsheets/d/11923uPwbBZFjjGgGUA6NLw09EwE0CqkOc4q9oUmW1yo/edit?usp=sharing"",""นครสวรรค์!L246"")"),0)</f>
        <v>0</v>
      </c>
      <c r="M351" s="164"/>
      <c r="N351" s="164">
        <f ca="1">IFERROR(__xludf.DUMMYFUNCTION("IMPORTRANGE(""https://docs.google.com/spreadsheets/d/11923uPwbBZFjjGgGUA6NLw09EwE0CqkOc4q9oUmW1yo/edit?usp=sharing"",""นครสวรรค์!M246"")"),0)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IFERROR(__xludf.DUMMYFUNCTION("IMPORTRANGE(""https://docs.google.com/spreadsheets/d/11923uPwbBZFjjGgGUA6NLw09EwE0CqkOc4q9oUmW1yo/edit?usp=sharing"",""นครสวรรค์!L247"")"),354030)</f>
        <v>354030</v>
      </c>
      <c r="M352" s="165"/>
      <c r="N352" s="164">
        <f ca="1">IFERROR(__xludf.DUMMYFUNCTION("IMPORTRANGE(""https://docs.google.com/spreadsheets/d/11923uPwbBZFjjGgGUA6NLw09EwE0CqkOc4q9oUmW1yo/edit?usp=sharing"",""นครสวรรค์!M247"")"),156018)</f>
        <v>156018</v>
      </c>
      <c r="O352" s="165">
        <f t="shared" ca="1" si="105"/>
        <v>44.069146682484536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IFERROR(__xludf.DUMMYFUNCTION("IMPORTRANGE(""https://docs.google.com/spreadsheets/d/11923uPwbBZFjjGgGUA6NLw09EwE0CqkOc4q9oUmW1yo/edit?usp=sharing"",""นครสวรรค์!L248"")"),0)</f>
        <v>0</v>
      </c>
      <c r="M353" s="168"/>
      <c r="N353" s="168">
        <f ca="1">IFERROR(__xludf.DUMMYFUNCTION("IMPORTRANGE(""https://docs.google.com/spreadsheets/d/11923uPwbBZFjjGgGUA6NLw09EwE0CqkOc4q9oUmW1yo/edit?usp=sharing"",""นครสวรรค์!M248"")"),0)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IFERROR(__xludf.DUMMYFUNCTION("IMPORTRANGE(""https://docs.google.com/spreadsheets/d/11923uPwbBZFjjGgGUA6NLw09EwE0CqkOc4q9oUmW1yo/edit?usp=sharing"",""นครสวรรค์!L249"")"),354030)</f>
        <v>354030</v>
      </c>
      <c r="M354" s="168"/>
      <c r="N354" s="167">
        <f ca="1">IFERROR(__xludf.DUMMYFUNCTION("IMPORTRANGE(""https://docs.google.com/spreadsheets/d/11923uPwbBZFjjGgGUA6NLw09EwE0CqkOc4q9oUmW1yo/edit?usp=sharing"",""นครสวรรค์!M249"")"),156018)</f>
        <v>156018</v>
      </c>
      <c r="O354" s="168">
        <f t="shared" ca="1" si="105"/>
        <v>44.069146682484536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IFERROR(__xludf.DUMMYFUNCTION("IMPORTRANGE(""https://docs.google.com/spreadsheets/d/11923uPwbBZFjjGgGUA6NLw09EwE0CqkOc4q9oUmW1yo/edit?usp=sharing"",""นครสวรรค์!M250"")"),71585)</f>
        <v>71585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IFERROR(__xludf.DUMMYFUNCTION("IMPORTRANGE(""https://docs.google.com/spreadsheets/d/11923uPwbBZFjjGgGUA6NLw09EwE0CqkOc4q9oUmW1yo/edit?usp=sharing"",""นครสวรรค์!M251"")"),35400)</f>
        <v>35400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IFERROR(__xludf.DUMMYFUNCTION("IMPORTRANGE(""https://docs.google.com/spreadsheets/d/11923uPwbBZFjjGgGUA6NLw09EwE0CqkOc4q9oUmW1yo/edit?usp=sharing"",""นครสวรรค์!M252"")"),43633)</f>
        <v>43633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IFERROR(__xludf.DUMMYFUNCTION("IMPORTRANGE(""https://docs.google.com/spreadsheets/d/11923uPwbBZFjjGgGUA6NLw09EwE0CqkOc4q9oUmW1yo/edit?usp=sharing"",""นครสวรรค์!M253"")"),5400)</f>
        <v>5400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IFERROR(__xludf.DUMMYFUNCTION("IMPORTRANGE(""https://docs.google.com/spreadsheets/d/11923uPwbBZFjjGgGUA6NLw09EwE0CqkOc4q9oUmW1yo/edit?usp=sharing"",""นครสวรรค์!J255"")"),0)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IFERROR(__xludf.DUMMYFUNCTION("IMPORTRANGE(""https://docs.google.com/spreadsheets/d/11923uPwbBZFjjGgGUA6NLw09EwE0CqkOc4q9oUmW1yo/edit?usp=sharing"",""นครสวรรค์!J256"")"),1)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IFERROR(__xludf.DUMMYFUNCTION("IMPORTRANGE(""https://docs.google.com/spreadsheets/d/11923uPwbBZFjjGgGUA6NLw09EwE0CqkOc4q9oUmW1yo/edit?usp=sharing"",""นครสวรรค์!J257"")"),1)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IFERROR(__xludf.DUMMYFUNCTION("IMPORTRANGE(""https://docs.google.com/spreadsheets/d/11923uPwbBZFjjGgGUA6NLw09EwE0CqkOc4q9oUmW1yo/edit?usp=sharing"",""นครสวรรค์!J258"")"),1)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IFERROR(__xludf.DUMMYFUNCTION("IMPORTRANGE(""https://docs.google.com/spreadsheets/d/11923uPwbBZFjjGgGUA6NLw09EwE0CqkOc4q9oUmW1yo/edit?usp=sharing"",""นครสวรรค์!J166"")"),0)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IFERROR(__xludf.DUMMYFUNCTION("IMPORTRANGE(""https://docs.google.com/spreadsheets/d/11923uPwbBZFjjGgGUA6NLw09EwE0CqkOc4q9oUmW1yo/edit?usp=sharing"",""นครสวรรค์!J166"")"),0)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IFERROR(__xludf.DUMMYFUNCTION("IMPORTRANGE(""https://docs.google.com/spreadsheets/d/11923uPwbBZFjjGgGUA6NLw09EwE0CqkOc4q9oUmW1yo/edit?usp=sharing"",""นครสวรรค์!J166"")"),0)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IFERROR(__xludf.DUMMYFUNCTION("IMPORTRANGE(""https://docs.google.com/spreadsheets/d/11923uPwbBZFjjGgGUA6NLw09EwE0CqkOc4q9oUmW1yo/edit?usp=sharing"",""นครสวรรค์!J166"")"),0)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IFERROR(__xludf.DUMMYFUNCTION("IMPORTRANGE(""https://docs.google.com/spreadsheets/d/11923uPwbBZFjjGgGUA6NLw09EwE0CqkOc4q9oUmW1yo/edit?usp=sharing"",""นครสวรรค์!I263"")"),55)</f>
        <v>55</v>
      </c>
      <c r="J368" s="187">
        <f ca="1">IFERROR(__xludf.DUMMYFUNCTION("IMPORTRANGE(""https://docs.google.com/spreadsheets/d/11923uPwbBZFjjGgGUA6NLw09EwE0CqkOc4q9oUmW1yo/edit?usp=sharing"",""นครสวรรค์!J263"")"),55)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IFERROR(__xludf.DUMMYFUNCTION("IMPORTRANGE(""https://docs.google.com/spreadsheets/d/11923uPwbBZFjjGgGUA6NLw09EwE0CqkOc4q9oUmW1yo/edit?usp=sharing"",""นครสวรรค์!I164"")"),0)</f>
        <v>0</v>
      </c>
      <c r="J369" s="203">
        <f ca="1">IFERROR(__xludf.DUMMYFUNCTION("IMPORTRANGE(""https://docs.google.com/spreadsheets/d/11923uPwbBZFjjGgGUA6NLw09EwE0CqkOc4q9oUmW1yo/edit?usp=sharing"",""นครสวรรค์!J164"")"),0)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IFERROR(__xludf.DUMMYFUNCTION("IMPORTRANGE(""https://docs.google.com/spreadsheets/d/11923uPwbBZFjjGgGUA6NLw09EwE0CqkOc4q9oUmW1yo/edit?usp=sharing"",""นครสวรรค์!I265"")"),55)</f>
        <v>55</v>
      </c>
      <c r="J370" s="203">
        <f ca="1">IFERROR(__xludf.DUMMYFUNCTION("IMPORTRANGE(""https://docs.google.com/spreadsheets/d/11923uPwbBZFjjGgGUA6NLw09EwE0CqkOc4q9oUmW1yo/edit?usp=sharing"",""นครสวรรค์!J265"")"),55)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IFERROR(__xludf.DUMMYFUNCTION("IMPORTRANGE(""https://docs.google.com/spreadsheets/d/11923uPwbBZFjjGgGUA6NLw09EwE0CqkOc4q9oUmW1yo/edit?usp=sharing"",""นครสวรรค์!I164"")"),0)</f>
        <v>0</v>
      </c>
      <c r="J371" s="188">
        <f ca="1">IFERROR(__xludf.DUMMYFUNCTION("IMPORTRANGE(""https://docs.google.com/spreadsheets/d/11923uPwbBZFjjGgGUA6NLw09EwE0CqkOc4q9oUmW1yo/edit?usp=sharing"",""นครสวรรค์!J164"")"),0)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IFERROR(__xludf.DUMMYFUNCTION("IMPORTRANGE(""https://docs.google.com/spreadsheets/d/11923uPwbBZFjjGgGUA6NLw09EwE0CqkOc4q9oUmW1yo/edit?usp=sharing"",""นครสวรรค์!I267"")"),55)</f>
        <v>55</v>
      </c>
      <c r="J372" s="188">
        <f ca="1">IFERROR(__xludf.DUMMYFUNCTION("IMPORTRANGE(""https://docs.google.com/spreadsheets/d/11923uPwbBZFjjGgGUA6NLw09EwE0CqkOc4q9oUmW1yo/edit?usp=sharing"",""นครสวรรค์!J267"")"),55)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IFERROR(__xludf.DUMMYFUNCTION("IMPORTRANGE(""https://docs.google.com/spreadsheets/d/11923uPwbBZFjjGgGUA6NLw09EwE0CqkOc4q9oUmW1yo/edit?usp=sharing"",""นครสวรรค์!I164"")"),0)</f>
        <v>0</v>
      </c>
      <c r="J373" s="203">
        <f ca="1">IFERROR(__xludf.DUMMYFUNCTION("IMPORTRANGE(""https://docs.google.com/spreadsheets/d/11923uPwbBZFjjGgGUA6NLw09EwE0CqkOc4q9oUmW1yo/edit?usp=sharing"",""นครสวรรค์!J164"")"),0)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IFERROR(__xludf.DUMMYFUNCTION("IMPORTRANGE(""https://docs.google.com/spreadsheets/d/11923uPwbBZFjjGgGUA6NLw09EwE0CqkOc4q9oUmW1yo/edit?usp=sharing"",""นครสวรรค์!I164"")"),0)</f>
        <v>0</v>
      </c>
      <c r="J374" s="187">
        <f ca="1">IFERROR(__xludf.DUMMYFUNCTION("IMPORTRANGE(""https://docs.google.com/spreadsheets/d/11923uPwbBZFjjGgGUA6NLw09EwE0CqkOc4q9oUmW1yo/edit?usp=sharing"",""นครสวรรค์!J164"")"),0)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IFERROR(__xludf.DUMMYFUNCTION("IMPORTRANGE(""https://docs.google.com/spreadsheets/d/11923uPwbBZFjjGgGUA6NLw09EwE0CqkOc4q9oUmW1yo/edit?usp=sharing"",""นครสวรรค์!I270"")"),110)</f>
        <v>110</v>
      </c>
      <c r="J375" s="187">
        <f ca="1">IFERROR(__xludf.DUMMYFUNCTION("IMPORTRANGE(""https://docs.google.com/spreadsheets/d/11923uPwbBZFjjGgGUA6NLw09EwE0CqkOc4q9oUmW1yo/edit?usp=sharing"",""นครสวรรค์!J270"")"),40)</f>
        <v>40</v>
      </c>
      <c r="K375" s="163">
        <f t="shared" ref="K375:K377" ca="1" si="107">IF(I375&gt;0,J375*100/I375,0)</f>
        <v>36.363636363636367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IFERROR(__xludf.DUMMYFUNCTION("IMPORTRANGE(""https://docs.google.com/spreadsheets/d/11923uPwbBZFjjGgGUA6NLw09EwE0CqkOc4q9oUmW1yo/edit?usp=sharing"",""นครสวรรค์!I271"")"),40)</f>
        <v>40</v>
      </c>
      <c r="J376" s="188">
        <f ca="1">IFERROR(__xludf.DUMMYFUNCTION("IMPORTRANGE(""https://docs.google.com/spreadsheets/d/11923uPwbBZFjjGgGUA6NLw09EwE0CqkOc4q9oUmW1yo/edit?usp=sharing"",""นครสวรรค์!J271"")"),40)</f>
        <v>40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IFERROR(__xludf.DUMMYFUNCTION("IMPORTRANGE(""https://docs.google.com/spreadsheets/d/11923uPwbBZFjjGgGUA6NLw09EwE0CqkOc4q9oUmW1yo/edit?usp=sharing"",""นครสวรรค์!I272"")"),70)</f>
        <v>70</v>
      </c>
      <c r="J377" s="203">
        <f ca="1">IFERROR(__xludf.DUMMYFUNCTION("IMPORTRANGE(""https://docs.google.com/spreadsheets/d/11923uPwbBZFjjGgGUA6NLw09EwE0CqkOc4q9oUmW1yo/edit?usp=sharing"",""นครสวรรค์!J272"")"),0)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IFERROR(__xludf.DUMMYFUNCTION("IMPORTRANGE(""https://docs.google.com/spreadsheets/d/11923uPwbBZFjjGgGUA6NLw09EwE0CqkOc4q9oUmW1yo/edit?usp=sharing"",""นครสวรรค์!J273"")"),0)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IFERROR(__xludf.DUMMYFUNCTION("IMPORTRANGE(""https://docs.google.com/spreadsheets/d/11923uPwbBZFjjGgGUA6NLw09EwE0CqkOc4q9oUmW1yo/edit?usp=sharing"",""นครสวรรค์!J274"")"),0)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IFERROR(__xludf.DUMMYFUNCTION("IMPORTRANGE(""https://docs.google.com/spreadsheets/d/11923uPwbBZFjjGgGUA6NLw09EwE0CqkOc4q9oUmW1yo/edit?usp=sharing"",""นครสวรรค์!I275"")"),1000)</f>
        <v>1000</v>
      </c>
      <c r="J380" s="369">
        <f ca="1">IFERROR(__xludf.DUMMYFUNCTION("IMPORTRANGE(""https://docs.google.com/spreadsheets/d/11923uPwbBZFjjGgGUA6NLw09EwE0CqkOc4q9oUmW1yo/edit?usp=sharing"",""นครสวรรค์!J275"")"),0)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IFERROR(__xludf.DUMMYFUNCTION("IMPORTRANGE(""https://docs.google.com/spreadsheets/d/11923uPwbBZFjjGgGUA6NLw09EwE0CqkOc4q9oUmW1yo/edit?usp=sharing"",""นครสวรรค์!L275"")"),1028520)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IFERROR(__xludf.DUMMYFUNCTION("IMPORTRANGE(""https://docs.google.com/spreadsheets/d/11923uPwbBZFjjGgGUA6NLw09EwE0CqkOc4q9oUmW1yo/edit?usp=sharing"",""นครสวรรค์!M275"")"),117339)</f>
        <v>117339</v>
      </c>
      <c r="O380" s="371">
        <f ca="1">+IF(L380&gt;0,N380*100/L380,0)</f>
        <v>11.408528759771322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IFERROR(__xludf.DUMMYFUNCTION("IMPORTRANGE(""https://docs.google.com/spreadsheets/d/11923uPwbBZFjjGgGUA6NLw09EwE0CqkOc4q9oUmW1yo/edit?usp=sharing"",""นครสวรรค์!I276"")"),100)</f>
        <v>100</v>
      </c>
      <c r="J381" s="369">
        <f ca="1">IFERROR(__xludf.DUMMYFUNCTION("IMPORTRANGE(""https://docs.google.com/spreadsheets/d/11923uPwbBZFjjGgGUA6NLw09EwE0CqkOc4q9oUmW1yo/edit?usp=sharing"",""นครสวรรค์!J276"")"),0)</f>
        <v>0</v>
      </c>
      <c r="K381" s="370">
        <f t="shared" ca="1" si="108"/>
        <v>0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IFERROR(__xludf.DUMMYFUNCTION("IMPORTRANGE(""https://docs.google.com/spreadsheets/d/11923uPwbBZFjjGgGUA6NLw09EwE0CqkOc4q9oUmW1yo/edit?usp=sharing"",""นครสวรรค์!L277"")"),0)</f>
        <v>0</v>
      </c>
      <c r="M382" s="164"/>
      <c r="N382" s="164">
        <f ca="1">IFERROR(__xludf.DUMMYFUNCTION("IMPORTRANGE(""https://docs.google.com/spreadsheets/d/11923uPwbBZFjjGgGUA6NLw09EwE0CqkOc4q9oUmW1yo/edit?usp=sharing"",""นครสวรรค์!M277"")"),0)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IFERROR(__xludf.DUMMYFUNCTION("IMPORTRANGE(""https://docs.google.com/spreadsheets/d/11923uPwbBZFjjGgGUA6NLw09EwE0CqkOc4q9oUmW1yo/edit?usp=sharing"",""นครสวรรค์!L278"")"),1028520)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IFERROR(__xludf.DUMMYFUNCTION("IMPORTRANGE(""https://docs.google.com/spreadsheets/d/11923uPwbBZFjjGgGUA6NLw09EwE0CqkOc4q9oUmW1yo/edit?usp=sharing"",""นครสวรรค์!M278"")"),117339)</f>
        <v>117339</v>
      </c>
      <c r="O383" s="165">
        <f t="shared" ca="1" si="109"/>
        <v>11.408528759771322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IFERROR(__xludf.DUMMYFUNCTION("IMPORTRANGE(""https://docs.google.com/spreadsheets/d/11923uPwbBZFjjGgGUA6NLw09EwE0CqkOc4q9oUmW1yo/edit?usp=sharing"",""นครสวรรค์!L279"")"),0)</f>
        <v>0</v>
      </c>
      <c r="M384" s="168"/>
      <c r="N384" s="168">
        <f ca="1">IFERROR(__xludf.DUMMYFUNCTION("IMPORTRANGE(""https://docs.google.com/spreadsheets/d/11923uPwbBZFjjGgGUA6NLw09EwE0CqkOc4q9oUmW1yo/edit?usp=sharing"",""นครสวรรค์!M279"")"),0)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IFERROR(__xludf.DUMMYFUNCTION("IMPORTRANGE(""https://docs.google.com/spreadsheets/d/11923uPwbBZFjjGgGUA6NLw09EwE0CqkOc4q9oUmW1yo/edit?usp=sharing"",""นครสวรรค์!L280"")"),1028520)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IFERROR(__xludf.DUMMYFUNCTION("IMPORTRANGE(""https://docs.google.com/spreadsheets/d/11923uPwbBZFjjGgGUA6NLw09EwE0CqkOc4q9oUmW1yo/edit?usp=sharing"",""นครสวรรค์!M280"")"),117339)</f>
        <v>117339</v>
      </c>
      <c r="O385" s="168">
        <f t="shared" ca="1" si="109"/>
        <v>11.408528759771322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IFERROR(__xludf.DUMMYFUNCTION("IMPORTRANGE(""https://docs.google.com/spreadsheets/d/11923uPwbBZFjjGgGUA6NLw09EwE0CqkOc4q9oUmW1yo/edit?usp=sharing"",""นครสวรรค์!M281"")"),72540)</f>
        <v>72540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IFERROR(__xludf.DUMMYFUNCTION("IMPORTRANGE(""https://docs.google.com/spreadsheets/d/11923uPwbBZFjjGgGUA6NLw09EwE0CqkOc4q9oUmW1yo/edit?usp=sharing"",""นครสวรรค์!M282"")"),0)</f>
        <v>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IFERROR(__xludf.DUMMYFUNCTION("IMPORTRANGE(""https://docs.google.com/spreadsheets/d/11923uPwbBZFjjGgGUA6NLw09EwE0CqkOc4q9oUmW1yo/edit?usp=sharing"",""นครสวรรค์!M283"")"),42899)</f>
        <v>42899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IFERROR(__xludf.DUMMYFUNCTION("IMPORTRANGE(""https://docs.google.com/spreadsheets/d/11923uPwbBZFjjGgGUA6NLw09EwE0CqkOc4q9oUmW1yo/edit?usp=sharing"",""นครสวรรค์!M284"")"),1900)</f>
        <v>1900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IFERROR(__xludf.DUMMYFUNCTION("IMPORTRANGE(""https://docs.google.com/spreadsheets/d/11923uPwbBZFjjGgGUA6NLw09EwE0CqkOc4q9oUmW1yo/edit?usp=sharing"",""นครสวรรค์!J286"")"),0)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IFERROR(__xludf.DUMMYFUNCTION("IMPORTRANGE(""https://docs.google.com/spreadsheets/d/11923uPwbBZFjjGgGUA6NLw09EwE0CqkOc4q9oUmW1yo/edit?usp=sharing"",""นครสวรรค์!J287"")"),1)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IFERROR(__xludf.DUMMYFUNCTION("IMPORTRANGE(""https://docs.google.com/spreadsheets/d/11923uPwbBZFjjGgGUA6NLw09EwE0CqkOc4q9oUmW1yo/edit?usp=sharing"",""นครสวรรค์!J288"")"),1)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IFERROR(__xludf.DUMMYFUNCTION("IMPORTRANGE(""https://docs.google.com/spreadsheets/d/11923uPwbBZFjjGgGUA6NLw09EwE0CqkOc4q9oUmW1yo/edit?usp=sharing"",""นครสวรรค์!J289"")"),1)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IFERROR(__xludf.DUMMYFUNCTION("IMPORTRANGE(""https://docs.google.com/spreadsheets/d/11923uPwbBZFjjGgGUA6NLw09EwE0CqkOc4q9oUmW1yo/edit?usp=sharing"",""นครสวรรค์!I291"")"),100)</f>
        <v>100</v>
      </c>
      <c r="J396" s="197">
        <f ca="1">IFERROR(__xludf.DUMMYFUNCTION("IMPORTRANGE(""https://docs.google.com/spreadsheets/d/11923uPwbBZFjjGgGUA6NLw09EwE0CqkOc4q9oUmW1yo/edit?usp=sharing"",""นครสวรรค์!J291"")"),0)</f>
        <v>0</v>
      </c>
      <c r="K396" s="163">
        <f t="shared" ref="K396:K398" ca="1" si="110">IF(I396&gt;0,J396*100/I396,0)</f>
        <v>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IFERROR(__xludf.DUMMYFUNCTION("IMPORTRANGE(""https://docs.google.com/spreadsheets/d/11923uPwbBZFjjGgGUA6NLw09EwE0CqkOc4q9oUmW1yo/edit?usp=sharing"",""นครสวรรค์!I292"")"),1000)</f>
        <v>1000</v>
      </c>
      <c r="J397" s="197">
        <f ca="1">IFERROR(__xludf.DUMMYFUNCTION("IMPORTRANGE(""https://docs.google.com/spreadsheets/d/11923uPwbBZFjjGgGUA6NLw09EwE0CqkOc4q9oUmW1yo/edit?usp=sharing"",""นครสวรรค์!J292"")"),0)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IFERROR(__xludf.DUMMYFUNCTION("IMPORTRANGE(""https://docs.google.com/spreadsheets/d/11923uPwbBZFjjGgGUA6NLw09EwE0CqkOc4q9oUmW1yo/edit?usp=sharing"",""นครสวรรค์!I293"")"),100)</f>
        <v>100</v>
      </c>
      <c r="J398" s="197">
        <f ca="1">IFERROR(__xludf.DUMMYFUNCTION("IMPORTRANGE(""https://docs.google.com/spreadsheets/d/11923uPwbBZFjjGgGUA6NLw09EwE0CqkOc4q9oUmW1yo/edit?usp=sharing"",""นครสวรรค์!J293"")"),0)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IFERROR(__xludf.DUMMYFUNCTION("IMPORTRANGE(""https://docs.google.com/spreadsheets/d/11923uPwbBZFjjGgGUA6NLw09EwE0CqkOc4q9oUmW1yo/edit?usp=sharing"",""นครสวรรค์!J294"")"),0)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IFERROR(__xludf.DUMMYFUNCTION("IMPORTRANGE(""https://docs.google.com/spreadsheets/d/11923uPwbBZFjjGgGUA6NLw09EwE0CqkOc4q9oUmW1yo/edit?usp=sharing"",""นครสวรรค์!J295"")"),0)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IFERROR(__xludf.DUMMYFUNCTION("IMPORTRANGE(""https://docs.google.com/spreadsheets/d/11923uPwbBZFjjGgGUA6NLw09EwE0CqkOc4q9oUmW1yo/edit?usp=sharing"",""นครสวรรค์!I296"")"),135)</f>
        <v>135</v>
      </c>
      <c r="J401" s="369">
        <f ca="1">IFERROR(__xludf.DUMMYFUNCTION("IMPORTRANGE(""https://docs.google.com/spreadsheets/d/11923uPwbBZFjjGgGUA6NLw09EwE0CqkOc4q9oUmW1yo/edit?usp=sharing"",""นครสวรรค์!J296"")"),141)</f>
        <v>141</v>
      </c>
      <c r="K401" s="370">
        <f t="shared" ref="K401:K402" ca="1" si="111">IF(I401&gt;0,J401*100/I401,0)</f>
        <v>104.44444444444444</v>
      </c>
      <c r="L401" s="371">
        <f ca="1">IFERROR(__xludf.DUMMYFUNCTION("IMPORTRANGE(""https://docs.google.com/spreadsheets/d/11923uPwbBZFjjGgGUA6NLw09EwE0CqkOc4q9oUmW1yo/edit?usp=sharing"",""นครสวรรค์!L296"")"),159950)</f>
        <v>159950</v>
      </c>
      <c r="M401" s="371"/>
      <c r="N401" s="371">
        <f ca="1">IFERROR(__xludf.DUMMYFUNCTION("IMPORTRANGE(""https://docs.google.com/spreadsheets/d/11923uPwbBZFjjGgGUA6NLw09EwE0CqkOc4q9oUmW1yo/edit?usp=sharing"",""นครสวรรค์!M296"")"),132250)</f>
        <v>132250</v>
      </c>
      <c r="O401" s="371">
        <f ca="1">+IF(L401&gt;0,N401*100/L401,0)</f>
        <v>82.682088152547678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IFERROR(__xludf.DUMMYFUNCTION("IMPORTRANGE(""https://docs.google.com/spreadsheets/d/11923uPwbBZFjjGgGUA6NLw09EwE0CqkOc4q9oUmW1yo/edit?usp=sharing"",""นครสวรรค์!I297"")"),45)</f>
        <v>45</v>
      </c>
      <c r="J402" s="369">
        <f ca="1">IFERROR(__xludf.DUMMYFUNCTION("IMPORTRANGE(""https://docs.google.com/spreadsheets/d/11923uPwbBZFjjGgGUA6NLw09EwE0CqkOc4q9oUmW1yo/edit?usp=sharing"",""นครสวรรค์!J297"")"),47)</f>
        <v>47</v>
      </c>
      <c r="K402" s="370">
        <f t="shared" ca="1" si="111"/>
        <v>104.44444444444444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IFERROR(__xludf.DUMMYFUNCTION("IMPORTRANGE(""https://docs.google.com/spreadsheets/d/11923uPwbBZFjjGgGUA6NLw09EwE0CqkOc4q9oUmW1yo/edit?usp=sharing"",""นครสวรรค์!L298"")"),0)</f>
        <v>0</v>
      </c>
      <c r="M403" s="164"/>
      <c r="N403" s="168">
        <f ca="1">IFERROR(__xludf.DUMMYFUNCTION("IMPORTRANGE(""https://docs.google.com/spreadsheets/d/11923uPwbBZFjjGgGUA6NLw09EwE0CqkOc4q9oUmW1yo/edit?usp=sharing"",""นครสวรรค์!M298"")"),0)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IFERROR(__xludf.DUMMYFUNCTION("IMPORTRANGE(""https://docs.google.com/spreadsheets/d/11923uPwbBZFjjGgGUA6NLw09EwE0CqkOc4q9oUmW1yo/edit?usp=sharing"",""นครสวรรค์!L299"")"),159950)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IFERROR(__xludf.DUMMYFUNCTION("IMPORTRANGE(""https://docs.google.com/spreadsheets/d/11923uPwbBZFjjGgGUA6NLw09EwE0CqkOc4q9oUmW1yo/edit?usp=sharing"",""นครสวรรค์!M299"")"),132250)</f>
        <v>132250</v>
      </c>
      <c r="O404" s="168">
        <f t="shared" ca="1" si="112"/>
        <v>82.682088152547678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IFERROR(__xludf.DUMMYFUNCTION("IMPORTRANGE(""https://docs.google.com/spreadsheets/d/11923uPwbBZFjjGgGUA6NLw09EwE0CqkOc4q9oUmW1yo/edit?usp=sharing"",""นครสวรรค์!L300"")"),0)</f>
        <v>0</v>
      </c>
      <c r="M405" s="168"/>
      <c r="N405" s="168">
        <f ca="1">IFERROR(__xludf.DUMMYFUNCTION("IMPORTRANGE(""https://docs.google.com/spreadsheets/d/11923uPwbBZFjjGgGUA6NLw09EwE0CqkOc4q9oUmW1yo/edit?usp=sharing"",""นครสวรรค์!M300"")"),0)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IFERROR(__xludf.DUMMYFUNCTION("IMPORTRANGE(""https://docs.google.com/spreadsheets/d/11923uPwbBZFjjGgGUA6NLw09EwE0CqkOc4q9oUmW1yo/edit?usp=sharing"",""นครสวรรค์!L301"")"),159950)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IFERROR(__xludf.DUMMYFUNCTION("IMPORTRANGE(""https://docs.google.com/spreadsheets/d/11923uPwbBZFjjGgGUA6NLw09EwE0CqkOc4q9oUmW1yo/edit?usp=sharing"",""นครสวรรค์!M301"")"),132250)</f>
        <v>132250</v>
      </c>
      <c r="O406" s="168">
        <f t="shared" ca="1" si="112"/>
        <v>82.682088152547678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IFERROR(__xludf.DUMMYFUNCTION("IMPORTRANGE(""https://docs.google.com/spreadsheets/d/11923uPwbBZFjjGgGUA6NLw09EwE0CqkOc4q9oUmW1yo/edit?usp=sharing"",""นครสวรรค์!M302"")"),97550)</f>
        <v>97550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IFERROR(__xludf.DUMMYFUNCTION("IMPORTRANGE(""https://docs.google.com/spreadsheets/d/11923uPwbBZFjjGgGUA6NLw09EwE0CqkOc4q9oUmW1yo/edit?usp=sharing"",""นครสวรรค์!M303"")"),32500)</f>
        <v>32500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IFERROR(__xludf.DUMMYFUNCTION("IMPORTRANGE(""https://docs.google.com/spreadsheets/d/11923uPwbBZFjjGgGUA6NLw09EwE0CqkOc4q9oUmW1yo/edit?usp=sharing"",""นครสวรรค์!M304"")"),0)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IFERROR(__xludf.DUMMYFUNCTION("IMPORTRANGE(""https://docs.google.com/spreadsheets/d/11923uPwbBZFjjGgGUA6NLw09EwE0CqkOc4q9oUmW1yo/edit?usp=sharing"",""นครสวรรค์!M305"")"),2200)</f>
        <v>2200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IFERROR(__xludf.DUMMYFUNCTION("IMPORTRANGE(""https://docs.google.com/spreadsheets/d/11923uPwbBZFjjGgGUA6NLw09EwE0CqkOc4q9oUmW1yo/edit?usp=sharing"",""นครสวรรค์!J307"")"),0)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IFERROR(__xludf.DUMMYFUNCTION("IMPORTRANGE(""https://docs.google.com/spreadsheets/d/11923uPwbBZFjjGgGUA6NLw09EwE0CqkOc4q9oUmW1yo/edit?usp=sharing"",""นครสวรรค์!J308"")"),1)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IFERROR(__xludf.DUMMYFUNCTION("IMPORTRANGE(""https://docs.google.com/spreadsheets/d/11923uPwbBZFjjGgGUA6NLw09EwE0CqkOc4q9oUmW1yo/edit?usp=sharing"",""นครสวรรค์!J309"")"),1)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IFERROR(__xludf.DUMMYFUNCTION("IMPORTRANGE(""https://docs.google.com/spreadsheets/d/11923uPwbBZFjjGgGUA6NLw09EwE0CqkOc4q9oUmW1yo/edit?usp=sharing"",""นครสวรรค์!J310"")"),0)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IFERROR(__xludf.DUMMYFUNCTION("IMPORTRANGE(""https://docs.google.com/spreadsheets/d/11923uPwbBZFjjGgGUA6NLw09EwE0CqkOc4q9oUmW1yo/edit?usp=sharing"",""นครสวรรค์!I311"")"),45)</f>
        <v>45</v>
      </c>
      <c r="J416" s="200">
        <f ca="1">IFERROR(__xludf.DUMMYFUNCTION("IMPORTRANGE(""https://docs.google.com/spreadsheets/d/11923uPwbBZFjjGgGUA6NLw09EwE0CqkOc4q9oUmW1yo/edit?usp=sharing"",""นครสวรรค์!J311"")"),47)</f>
        <v>47</v>
      </c>
      <c r="K416" s="201">
        <f t="shared" ref="K416:K432" ca="1" si="113">IF(I416&gt;0,J416*100/I416,0)</f>
        <v>104.44444444444444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IFERROR(__xludf.DUMMYFUNCTION("IMPORTRANGE(""https://docs.google.com/spreadsheets/d/11923uPwbBZFjjGgGUA6NLw09EwE0CqkOc4q9oUmW1yo/edit?usp=sharing"",""นครสวรรค์!I312"")"),10)</f>
        <v>10</v>
      </c>
      <c r="J417" s="390">
        <f ca="1">IFERROR(__xludf.DUMMYFUNCTION("IMPORTRANGE(""https://docs.google.com/spreadsheets/d/11923uPwbBZFjjGgGUA6NLw09EwE0CqkOc4q9oUmW1yo/edit?usp=sharing"",""นครสวรรค์!J312"")"),10)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IFERROR(__xludf.DUMMYFUNCTION("IMPORTRANGE(""https://docs.google.com/spreadsheets/d/11923uPwbBZFjjGgGUA6NLw09EwE0CqkOc4q9oUmW1yo/edit?usp=sharing"",""นครสวรรค์!I313"")"),30)</f>
        <v>30</v>
      </c>
      <c r="J418" s="391">
        <f ca="1">IFERROR(__xludf.DUMMYFUNCTION("IMPORTRANGE(""https://docs.google.com/spreadsheets/d/11923uPwbBZFjjGgGUA6NLw09EwE0CqkOc4q9oUmW1yo/edit?usp=sharing"",""นครสวรรค์!J313"")"),30)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IFERROR(__xludf.DUMMYFUNCTION("IMPORTRANGE(""https://docs.google.com/spreadsheets/d/11923uPwbBZFjjGgGUA6NLw09EwE0CqkOc4q9oUmW1yo/edit?usp=sharing"",""นครสวรรค์!I314"")"),10)</f>
        <v>10</v>
      </c>
      <c r="J419" s="392">
        <f ca="1">IFERROR(__xludf.DUMMYFUNCTION("IMPORTRANGE(""https://docs.google.com/spreadsheets/d/11923uPwbBZFjjGgGUA6NLw09EwE0CqkOc4q9oUmW1yo/edit?usp=sharing"",""นครสวรรค์!J314"")"),10)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IFERROR(__xludf.DUMMYFUNCTION("IMPORTRANGE(""https://docs.google.com/spreadsheets/d/11923uPwbBZFjjGgGUA6NLw09EwE0CqkOc4q9oUmW1yo/edit?usp=sharing"",""นครสวรรค์!I315"")"),10)</f>
        <v>10</v>
      </c>
      <c r="J420" s="392">
        <f ca="1">IFERROR(__xludf.DUMMYFUNCTION("IMPORTRANGE(""https://docs.google.com/spreadsheets/d/11923uPwbBZFjjGgGUA6NLw09EwE0CqkOc4q9oUmW1yo/edit?usp=sharing"",""นครสวรรค์!J315"")"),10)</f>
        <v>10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IFERROR(__xludf.DUMMYFUNCTION("IMPORTRANGE(""https://docs.google.com/spreadsheets/d/11923uPwbBZFjjGgGUA6NLw09EwE0CqkOc4q9oUmW1yo/edit?usp=sharing"",""นครสวรรค์!I316"")"),25)</f>
        <v>25</v>
      </c>
      <c r="J421" s="390">
        <f ca="1">IFERROR(__xludf.DUMMYFUNCTION("IMPORTRANGE(""https://docs.google.com/spreadsheets/d/11923uPwbBZFjjGgGUA6NLw09EwE0CqkOc4q9oUmW1yo/edit?usp=sharing"",""นครสวรรค์!J316"")"),25)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IFERROR(__xludf.DUMMYFUNCTION("IMPORTRANGE(""https://docs.google.com/spreadsheets/d/11923uPwbBZFjjGgGUA6NLw09EwE0CqkOc4q9oUmW1yo/edit?usp=sharing"",""นครสวรรค์!I317"")"),75)</f>
        <v>75</v>
      </c>
      <c r="J422" s="391">
        <f ca="1">IFERROR(__xludf.DUMMYFUNCTION("IMPORTRANGE(""https://docs.google.com/spreadsheets/d/11923uPwbBZFjjGgGUA6NLw09EwE0CqkOc4q9oUmW1yo/edit?usp=sharing"",""นครสวรรค์!J317"")"),75)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IFERROR(__xludf.DUMMYFUNCTION("IMPORTRANGE(""https://docs.google.com/spreadsheets/d/11923uPwbBZFjjGgGUA6NLw09EwE0CqkOc4q9oUmW1yo/edit?usp=sharing"",""นครสวรรค์!I318"")"),25)</f>
        <v>25</v>
      </c>
      <c r="J423" s="392">
        <f ca="1">IFERROR(__xludf.DUMMYFUNCTION("IMPORTRANGE(""https://docs.google.com/spreadsheets/d/11923uPwbBZFjjGgGUA6NLw09EwE0CqkOc4q9oUmW1yo/edit?usp=sharing"",""นครสวรรค์!J318"")"),25)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IFERROR(__xludf.DUMMYFUNCTION("IMPORTRANGE(""https://docs.google.com/spreadsheets/d/11923uPwbBZFjjGgGUA6NLw09EwE0CqkOc4q9oUmW1yo/edit?usp=sharing"",""นครสวรรค์!I319"")"),25)</f>
        <v>25</v>
      </c>
      <c r="J424" s="392">
        <f ca="1">IFERROR(__xludf.DUMMYFUNCTION("IMPORTRANGE(""https://docs.google.com/spreadsheets/d/11923uPwbBZFjjGgGUA6NLw09EwE0CqkOc4q9oUmW1yo/edit?usp=sharing"",""นครสวรรค์!J319"")"),25)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IFERROR(__xludf.DUMMYFUNCTION("IMPORTRANGE(""https://docs.google.com/spreadsheets/d/11923uPwbBZFjjGgGUA6NLw09EwE0CqkOc4q9oUmW1yo/edit?usp=sharing"",""นครสวรรค์!I320"")"),25)</f>
        <v>25</v>
      </c>
      <c r="J425" s="392">
        <f ca="1">IFERROR(__xludf.DUMMYFUNCTION("IMPORTRANGE(""https://docs.google.com/spreadsheets/d/11923uPwbBZFjjGgGUA6NLw09EwE0CqkOc4q9oUmW1yo/edit?usp=sharing"",""นครสวรรค์!J320"")"),25)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IFERROR(__xludf.DUMMYFUNCTION("IMPORTRANGE(""https://docs.google.com/spreadsheets/d/11923uPwbBZFjjGgGUA6NLw09EwE0CqkOc4q9oUmW1yo/edit?usp=sharing"",""นครสวรรค์!I321"")"),10)</f>
        <v>10</v>
      </c>
      <c r="J426" s="390">
        <f ca="1">IFERROR(__xludf.DUMMYFUNCTION("IMPORTRANGE(""https://docs.google.com/spreadsheets/d/11923uPwbBZFjjGgGUA6NLw09EwE0CqkOc4q9oUmW1yo/edit?usp=sharing"",""นครสวรรค์!J321"")"),12)</f>
        <v>12</v>
      </c>
      <c r="K426" s="201">
        <f t="shared" ca="1" si="113"/>
        <v>120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IFERROR(__xludf.DUMMYFUNCTION("IMPORTRANGE(""https://docs.google.com/spreadsheets/d/11923uPwbBZFjjGgGUA6NLw09EwE0CqkOc4q9oUmW1yo/edit?usp=sharing"",""นครสวรรค์!I322"")"),30)</f>
        <v>30</v>
      </c>
      <c r="J427" s="391">
        <f ca="1">IFERROR(__xludf.DUMMYFUNCTION("IMPORTRANGE(""https://docs.google.com/spreadsheets/d/11923uPwbBZFjjGgGUA6NLw09EwE0CqkOc4q9oUmW1yo/edit?usp=sharing"",""นครสวรรค์!J322"")"),36)</f>
        <v>36</v>
      </c>
      <c r="K427" s="201">
        <f t="shared" ca="1" si="113"/>
        <v>120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IFERROR(__xludf.DUMMYFUNCTION("IMPORTRANGE(""https://docs.google.com/spreadsheets/d/11923uPwbBZFjjGgGUA6NLw09EwE0CqkOc4q9oUmW1yo/edit?usp=sharing"",""นครสวรรค์!I323"")"),10)</f>
        <v>10</v>
      </c>
      <c r="J428" s="392">
        <f ca="1">IFERROR(__xludf.DUMMYFUNCTION("IMPORTRANGE(""https://docs.google.com/spreadsheets/d/11923uPwbBZFjjGgGUA6NLw09EwE0CqkOc4q9oUmW1yo/edit?usp=sharing"",""นครสวรรค์!J323"")"),12)</f>
        <v>12</v>
      </c>
      <c r="K428" s="163">
        <f t="shared" ca="1" si="113"/>
        <v>120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IFERROR(__xludf.DUMMYFUNCTION("IMPORTRANGE(""https://docs.google.com/spreadsheets/d/11923uPwbBZFjjGgGUA6NLw09EwE0CqkOc4q9oUmW1yo/edit?usp=sharing"",""นครสวรรค์!I324"")"),10)</f>
        <v>10</v>
      </c>
      <c r="J429" s="392">
        <f ca="1">IFERROR(__xludf.DUMMYFUNCTION("IMPORTRANGE(""https://docs.google.com/spreadsheets/d/11923uPwbBZFjjGgGUA6NLw09EwE0CqkOc4q9oUmW1yo/edit?usp=sharing"",""นครสวรรค์!J324"")"),12)</f>
        <v>12</v>
      </c>
      <c r="K429" s="163">
        <f t="shared" ca="1" si="113"/>
        <v>120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IFERROR(__xludf.DUMMYFUNCTION("IMPORTRANGE(""https://docs.google.com/spreadsheets/d/11923uPwbBZFjjGgGUA6NLw09EwE0CqkOc4q9oUmW1yo/edit?usp=sharing"",""นครสวรรค์!I325"")"),35)</f>
        <v>35</v>
      </c>
      <c r="J430" s="390">
        <f ca="1">IFERROR(__xludf.DUMMYFUNCTION("IMPORTRANGE(""https://docs.google.com/spreadsheets/d/11923uPwbBZFjjGgGUA6NLw09EwE0CqkOc4q9oUmW1yo/edit?usp=sharing"",""นครสวรรค์!J325"")"),35)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IFERROR(__xludf.DUMMYFUNCTION("IMPORTRANGE(""https://docs.google.com/spreadsheets/d/11923uPwbBZFjjGgGUA6NLw09EwE0CqkOc4q9oUmW1yo/edit?usp=sharing"",""นครสวรรค์!I326"")"),10)</f>
        <v>10</v>
      </c>
      <c r="J431" s="392">
        <f ca="1">IFERROR(__xludf.DUMMYFUNCTION("IMPORTRANGE(""https://docs.google.com/spreadsheets/d/11923uPwbBZFjjGgGUA6NLw09EwE0CqkOc4q9oUmW1yo/edit?usp=sharing"",""นครสวรรค์!J326"")"),10)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IFERROR(__xludf.DUMMYFUNCTION("IMPORTRANGE(""https://docs.google.com/spreadsheets/d/11923uPwbBZFjjGgGUA6NLw09EwE0CqkOc4q9oUmW1yo/edit?usp=sharing"",""นครสวรรค์!I327"")"),25)</f>
        <v>25</v>
      </c>
      <c r="J432" s="392">
        <f ca="1">IFERROR(__xludf.DUMMYFUNCTION("IMPORTRANGE(""https://docs.google.com/spreadsheets/d/11923uPwbBZFjjGgGUA6NLw09EwE0CqkOc4q9oUmW1yo/edit?usp=sharing"",""นครสวรรค์!J327"")"),25)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IFERROR(__xludf.DUMMYFUNCTION("IMPORTRANGE(""https://docs.google.com/spreadsheets/d/11923uPwbBZFjjGgGUA6NLw09EwE0CqkOc4q9oUmW1yo/edit?usp=sharing"",""นครสวรรค์!J328"")"),0)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IFERROR(__xludf.DUMMYFUNCTION("IMPORTRANGE(""https://docs.google.com/spreadsheets/d/11923uPwbBZFjjGgGUA6NLw09EwE0CqkOc4q9oUmW1yo/edit?usp=sharing"",""นครสวรรค์!J329"")"),0)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IFERROR(__xludf.DUMMYFUNCTION("IMPORTRANGE(""https://docs.google.com/spreadsheets/d/11923uPwbBZFjjGgGUA6NLw09EwE0CqkOc4q9oUmW1yo/edit?usp=sharing"",""นครสวรรค์!I330"")"),15)</f>
        <v>15</v>
      </c>
      <c r="J435" s="408">
        <f ca="1">IFERROR(__xludf.DUMMYFUNCTION("IMPORTRANGE(""https://docs.google.com/spreadsheets/d/11923uPwbBZFjjGgGUA6NLw09EwE0CqkOc4q9oUmW1yo/edit?usp=sharing"",""นครสวรรค์!J330"")"),15)</f>
        <v>15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IFERROR(__xludf.DUMMYFUNCTION("IMPORTRANGE(""https://docs.google.com/spreadsheets/d/11923uPwbBZFjjGgGUA6NLw09EwE0CqkOc4q9oUmW1yo/edit?usp=sharing"",""นครสวรรค์!L330"")"),106000)</f>
        <v>106000</v>
      </c>
      <c r="M435" s="410"/>
      <c r="N435" s="410">
        <f ca="1">IFERROR(__xludf.DUMMYFUNCTION("IMPORTRANGE(""https://docs.google.com/spreadsheets/d/11923uPwbBZFjjGgGUA6NLw09EwE0CqkOc4q9oUmW1yo/edit?usp=sharing"",""นครสวรรค์!M330"")"),68902)</f>
        <v>68902</v>
      </c>
      <c r="O435" s="410">
        <f t="shared" ref="O435:O439" ca="1" si="114">+IF(L435&gt;0,N435*100/L435,0)</f>
        <v>65.001886792452837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IFERROR(__xludf.DUMMYFUNCTION("IMPORTRANGE(""https://docs.google.com/spreadsheets/d/11923uPwbBZFjjGgGUA6NLw09EwE0CqkOc4q9oUmW1yo/edit?usp=sharing"",""นครสวรรค์!L331"")"),0)</f>
        <v>0</v>
      </c>
      <c r="M436" s="164"/>
      <c r="N436" s="168">
        <f ca="1">IFERROR(__xludf.DUMMYFUNCTION("IMPORTRANGE(""https://docs.google.com/spreadsheets/d/11923uPwbBZFjjGgGUA6NLw09EwE0CqkOc4q9oUmW1yo/edit?usp=sharing"",""นครสวรรค์!M331"")"),0)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IFERROR(__xludf.DUMMYFUNCTION("IMPORTRANGE(""https://docs.google.com/spreadsheets/d/11923uPwbBZFjjGgGUA6NLw09EwE0CqkOc4q9oUmW1yo/edit?usp=sharing"",""นครสวรรค์!L332"")"),106000)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IFERROR(__xludf.DUMMYFUNCTION("IMPORTRANGE(""https://docs.google.com/spreadsheets/d/11923uPwbBZFjjGgGUA6NLw09EwE0CqkOc4q9oUmW1yo/edit?usp=sharing"",""นครสวรรค์!M332"")"),68902)</f>
        <v>68902</v>
      </c>
      <c r="O437" s="168">
        <f t="shared" ca="1" si="114"/>
        <v>65.001886792452837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IFERROR(__xludf.DUMMYFUNCTION("IMPORTRANGE(""https://docs.google.com/spreadsheets/d/11923uPwbBZFjjGgGUA6NLw09EwE0CqkOc4q9oUmW1yo/edit?usp=sharing"",""นครสวรรค์!L333"")"),0)</f>
        <v>0</v>
      </c>
      <c r="M438" s="168"/>
      <c r="N438" s="168">
        <f ca="1">IFERROR(__xludf.DUMMYFUNCTION("IMPORTRANGE(""https://docs.google.com/spreadsheets/d/11923uPwbBZFjjGgGUA6NLw09EwE0CqkOc4q9oUmW1yo/edit?usp=sharing"",""นครสวรรค์!M333"")"),0)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IFERROR(__xludf.DUMMYFUNCTION("IMPORTRANGE(""https://docs.google.com/spreadsheets/d/11923uPwbBZFjjGgGUA6NLw09EwE0CqkOc4q9oUmW1yo/edit?usp=sharing"",""นครสวรรค์!L334"")"),106000)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IFERROR(__xludf.DUMMYFUNCTION("IMPORTRANGE(""https://docs.google.com/spreadsheets/d/11923uPwbBZFjjGgGUA6NLw09EwE0CqkOc4q9oUmW1yo/edit?usp=sharing"",""นครสวรรค์!M334"")"),68902)</f>
        <v>68902</v>
      </c>
      <c r="O439" s="168">
        <f t="shared" ca="1" si="114"/>
        <v>65.001886792452837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IFERROR(__xludf.DUMMYFUNCTION("IMPORTRANGE(""https://docs.google.com/spreadsheets/d/11923uPwbBZFjjGgGUA6NLw09EwE0CqkOc4q9oUmW1yo/edit?usp=sharing"",""นครสวรรค์!M335"")"),31782)</f>
        <v>31782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IFERROR(__xludf.DUMMYFUNCTION("IMPORTRANGE(""https://docs.google.com/spreadsheets/d/11923uPwbBZFjjGgGUA6NLw09EwE0CqkOc4q9oUmW1yo/edit?usp=sharing"",""นครสวรรค์!M336"")"),0)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IFERROR(__xludf.DUMMYFUNCTION("IMPORTRANGE(""https://docs.google.com/spreadsheets/d/11923uPwbBZFjjGgGUA6NLw09EwE0CqkOc4q9oUmW1yo/edit?usp=sharing"",""นครสวรรค์!M337"")"),0)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IFERROR(__xludf.DUMMYFUNCTION("IMPORTRANGE(""https://docs.google.com/spreadsheets/d/11923uPwbBZFjjGgGUA6NLw09EwE0CqkOc4q9oUmW1yo/edit?usp=sharing"",""นครสวรรค์!M338"")"),37120)</f>
        <v>37120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IFERROR(__xludf.DUMMYFUNCTION("IMPORTRANGE(""https://docs.google.com/spreadsheets/d/11923uPwbBZFjjGgGUA6NLw09EwE0CqkOc4q9oUmW1yo/edit?usp=sharing"",""นครสวรรค์!J340"")"),0)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IFERROR(__xludf.DUMMYFUNCTION("IMPORTRANGE(""https://docs.google.com/spreadsheets/d/11923uPwbBZFjjGgGUA6NLw09EwE0CqkOc4q9oUmW1yo/edit?usp=sharing"",""นครสวรรค์!J341"")"),1)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IFERROR(__xludf.DUMMYFUNCTION("IMPORTRANGE(""https://docs.google.com/spreadsheets/d/11923uPwbBZFjjGgGUA6NLw09EwE0CqkOc4q9oUmW1yo/edit?usp=sharing"",""นครสวรรค์!J342"")"),1)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IFERROR(__xludf.DUMMYFUNCTION("IMPORTRANGE(""https://docs.google.com/spreadsheets/d/11923uPwbBZFjjGgGUA6NLw09EwE0CqkOc4q9oUmW1yo/edit?usp=sharing"",""นครสวรรค์!J343"")"),1)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IFERROR(__xludf.DUMMYFUNCTION("IMPORTRANGE(""https://docs.google.com/spreadsheets/d/11923uPwbBZFjjGgGUA6NLw09EwE0CqkOc4q9oUmW1yo/edit?usp=sharing"",""นครสวรรค์!I344"")"),15)</f>
        <v>15</v>
      </c>
      <c r="J449" s="200">
        <f ca="1">IFERROR(__xludf.DUMMYFUNCTION("IMPORTRANGE(""https://docs.google.com/spreadsheets/d/11923uPwbBZFjjGgGUA6NLw09EwE0CqkOc4q9oUmW1yo/edit?usp=sharing"",""นครสวรรค์!J344"")"),15)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IFERROR(__xludf.DUMMYFUNCTION("IMPORTRANGE(""https://docs.google.com/spreadsheets/d/11923uPwbBZFjjGgGUA6NLw09EwE0CqkOc4q9oUmW1yo/edit?usp=sharing"",""นครสวรรค์!I345"")"),15)</f>
        <v>15</v>
      </c>
      <c r="J450" s="188">
        <f ca="1">IFERROR(__xludf.DUMMYFUNCTION("IMPORTRANGE(""https://docs.google.com/spreadsheets/d/11923uPwbBZFjjGgGUA6NLw09EwE0CqkOc4q9oUmW1yo/edit?usp=sharing"",""นครสวรรค์!J345"")"),15)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IFERROR(__xludf.DUMMYFUNCTION("IMPORTRANGE(""https://docs.google.com/spreadsheets/d/11923uPwbBZFjjGgGUA6NLw09EwE0CqkOc4q9oUmW1yo/edit?usp=sharing"",""นครสวรรค์!I346"")"),0)</f>
        <v>0</v>
      </c>
      <c r="J451" s="187">
        <f ca="1">IFERROR(__xludf.DUMMYFUNCTION("IMPORTRANGE(""https://docs.google.com/spreadsheets/d/11923uPwbBZFjjGgGUA6NLw09EwE0CqkOc4q9oUmW1yo/edit?usp=sharing"",""นครสวรรค์!J346"")"),0)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IFERROR(__xludf.DUMMYFUNCTION("IMPORTRANGE(""https://docs.google.com/spreadsheets/d/11923uPwbBZFjjGgGUA6NLw09EwE0CqkOc4q9oUmW1yo/edit?usp=sharing"",""นครสวรรค์!I347"")"),0)</f>
        <v>0</v>
      </c>
      <c r="J452" s="187">
        <f ca="1">IFERROR(__xludf.DUMMYFUNCTION("IMPORTRANGE(""https://docs.google.com/spreadsheets/d/11923uPwbBZFjjGgGUA6NLw09EwE0CqkOc4q9oUmW1yo/edit?usp=sharing"",""นครสวรรค์!J347"")"),0)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IFERROR(__xludf.DUMMYFUNCTION("IMPORTRANGE(""https://docs.google.com/spreadsheets/d/11923uPwbBZFjjGgGUA6NLw09EwE0CqkOc4q9oUmW1yo/edit?usp=sharing"",""นครสวรรค์!J348"")"),0)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IFERROR(__xludf.DUMMYFUNCTION("IMPORTRANGE(""https://docs.google.com/spreadsheets/d/11923uPwbBZFjjGgGUA6NLw09EwE0CqkOc4q9oUmW1yo/edit?usp=sharing"",""นครสวรรค์!J349"")"),0)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IFERROR(__xludf.DUMMYFUNCTION("IMPORTRANGE(""https://docs.google.com/spreadsheets/d/11923uPwbBZFjjGgGUA6NLw09EwE0CqkOc4q9oUmW1yo/edit?usp=sharing"",""นครสวรรค์!I350"")"),45976)</f>
        <v>45976</v>
      </c>
      <c r="J455" s="369">
        <f ca="1">IFERROR(__xludf.DUMMYFUNCTION("IMPORTRANGE(""https://docs.google.com/spreadsheets/d/11923uPwbBZFjjGgGUA6NLw09EwE0CqkOc4q9oUmW1yo/edit?usp=sharing"",""นครสวรรค์!J350"")"),0)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IFERROR(__xludf.DUMMYFUNCTION("IMPORTRANGE(""https://docs.google.com/spreadsheets/d/11923uPwbBZFjjGgGUA6NLw09EwE0CqkOc4q9oUmW1yo/edit?usp=sharing"",""นครสวรรค์!L350"")"),270063)</f>
        <v>270063</v>
      </c>
      <c r="M455" s="371"/>
      <c r="N455" s="371">
        <f ca="1">IFERROR(__xludf.DUMMYFUNCTION("IMPORTRANGE(""https://docs.google.com/spreadsheets/d/11923uPwbBZFjjGgGUA6NLw09EwE0CqkOc4q9oUmW1yo/edit?usp=sharing"",""นครสวรรค์!M350"")"),72876)</f>
        <v>72876</v>
      </c>
      <c r="O455" s="371">
        <f t="shared" ref="O455:O459" ca="1" si="116">+IF(L455&gt;0,N455*100/L455,0)</f>
        <v>26.984814654358427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IFERROR(__xludf.DUMMYFUNCTION("IMPORTRANGE(""https://docs.google.com/spreadsheets/d/11923uPwbBZFjjGgGUA6NLw09EwE0CqkOc4q9oUmW1yo/edit?usp=sharing"",""นครสวรรค์!L351"")"),0)</f>
        <v>0</v>
      </c>
      <c r="M456" s="164"/>
      <c r="N456" s="168">
        <f ca="1">IFERROR(__xludf.DUMMYFUNCTION("IMPORTRANGE(""https://docs.google.com/spreadsheets/d/11923uPwbBZFjjGgGUA6NLw09EwE0CqkOc4q9oUmW1yo/edit?usp=sharing"",""นครสวรรค์!M351"")"),0)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IFERROR(__xludf.DUMMYFUNCTION("IMPORTRANGE(""https://docs.google.com/spreadsheets/d/11923uPwbBZFjjGgGUA6NLw09EwE0CqkOc4q9oUmW1yo/edit?usp=sharing"",""นครสวรรค์!L352"")"),270063)</f>
        <v>270063</v>
      </c>
      <c r="M457" s="165"/>
      <c r="N457" s="168">
        <f ca="1">IFERROR(__xludf.DUMMYFUNCTION("IMPORTRANGE(""https://docs.google.com/spreadsheets/d/11923uPwbBZFjjGgGUA6NLw09EwE0CqkOc4q9oUmW1yo/edit?usp=sharing"",""นครสวรรค์!M352"")"),72876)</f>
        <v>72876</v>
      </c>
      <c r="O457" s="168">
        <f t="shared" ca="1" si="116"/>
        <v>26.984814654358427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IFERROR(__xludf.DUMMYFUNCTION("IMPORTRANGE(""https://docs.google.com/spreadsheets/d/11923uPwbBZFjjGgGUA6NLw09EwE0CqkOc4q9oUmW1yo/edit?usp=sharing"",""นครสวรรค์!L353"")"),0)</f>
        <v>0</v>
      </c>
      <c r="M458" s="168"/>
      <c r="N458" s="168">
        <f ca="1">IFERROR(__xludf.DUMMYFUNCTION("IMPORTRANGE(""https://docs.google.com/spreadsheets/d/11923uPwbBZFjjGgGUA6NLw09EwE0CqkOc4q9oUmW1yo/edit?usp=sharing"",""นครสวรรค์!M353"")"),0)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IFERROR(__xludf.DUMMYFUNCTION("IMPORTRANGE(""https://docs.google.com/spreadsheets/d/11923uPwbBZFjjGgGUA6NLw09EwE0CqkOc4q9oUmW1yo/edit?usp=sharing"",""นครสวรรค์!L354"")"),270063)</f>
        <v>270063</v>
      </c>
      <c r="M459" s="168"/>
      <c r="N459" s="168">
        <f ca="1">IFERROR(__xludf.DUMMYFUNCTION("IMPORTRANGE(""https://docs.google.com/spreadsheets/d/11923uPwbBZFjjGgGUA6NLw09EwE0CqkOc4q9oUmW1yo/edit?usp=sharing"",""นครสวรรค์!M354"")"),72876)</f>
        <v>72876</v>
      </c>
      <c r="O459" s="168">
        <f t="shared" ca="1" si="116"/>
        <v>26.984814654358427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IFERROR(__xludf.DUMMYFUNCTION("IMPORTRANGE(""https://docs.google.com/spreadsheets/d/11923uPwbBZFjjGgGUA6NLw09EwE0CqkOc4q9oUmW1yo/edit?usp=sharing"",""นครสวรรค์!M355"")"),0)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IFERROR(__xludf.DUMMYFUNCTION("IMPORTRANGE(""https://docs.google.com/spreadsheets/d/11923uPwbBZFjjGgGUA6NLw09EwE0CqkOc4q9oUmW1yo/edit?usp=sharing"",""นครสวรรค์!M356"")"),0)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IFERROR(__xludf.DUMMYFUNCTION("IMPORTRANGE(""https://docs.google.com/spreadsheets/d/11923uPwbBZFjjGgGUA6NLw09EwE0CqkOc4q9oUmW1yo/edit?usp=sharing"",""นครสวรรค์!M357"")"),0)</f>
        <v>0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IFERROR(__xludf.DUMMYFUNCTION("IMPORTRANGE(""https://docs.google.com/spreadsheets/d/11923uPwbBZFjjGgGUA6NLw09EwE0CqkOc4q9oUmW1yo/edit?usp=sharing"",""นครสวรรค์!M358"")"),72876)</f>
        <v>72876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IFERROR(__xludf.DUMMYFUNCTION("IMPORTRANGE(""https://docs.google.com/spreadsheets/d/11923uPwbBZFjjGgGUA6NLw09EwE0CqkOc4q9oUmW1yo/edit?usp=sharing"",""นครสวรรค์!I359"")"),45976)</f>
        <v>45976</v>
      </c>
      <c r="J464" s="266">
        <f ca="1">IFERROR(__xludf.DUMMYFUNCTION("IMPORTRANGE(""https://docs.google.com/spreadsheets/d/11923uPwbBZFjjGgGUA6NLw09EwE0CqkOc4q9oUmW1yo/edit?usp=sharing"",""นครสวรรค์!J359"")"),0)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IFERROR(__xludf.DUMMYFUNCTION("IMPORTRANGE(""https://docs.google.com/spreadsheets/d/11923uPwbBZFjjGgGUA6NLw09EwE0CqkOc4q9oUmW1yo/edit?usp=sharing"",""นครสวรรค์!I360"")"),45976)</f>
        <v>45976</v>
      </c>
      <c r="J465" s="418">
        <f ca="1">IFERROR(__xludf.DUMMYFUNCTION("IMPORTRANGE(""https://docs.google.com/spreadsheets/d/11923uPwbBZFjjGgGUA6NLw09EwE0CqkOc4q9oUmW1yo/edit?usp=sharing"",""นครสวรรค์!J360"")"),45977)</f>
        <v>45977</v>
      </c>
      <c r="K465" s="201">
        <f t="shared" ca="1" si="117"/>
        <v>100.00217504785105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IFERROR(__xludf.DUMMYFUNCTION("IMPORTRANGE(""https://docs.google.com/spreadsheets/d/11923uPwbBZFjjGgGUA6NLw09EwE0CqkOc4q9oUmW1yo/edit?usp=sharing"",""นครสวรรค์!I361"")"),3447)</f>
        <v>3447</v>
      </c>
      <c r="J466" s="418">
        <f ca="1">IFERROR(__xludf.DUMMYFUNCTION("IMPORTRANGE(""https://docs.google.com/spreadsheets/d/11923uPwbBZFjjGgGUA6NLw09EwE0CqkOc4q9oUmW1yo/edit?usp=sharing"",""นครสวรรค์!J361"")"),3447)</f>
        <v>3447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IFERROR(__xludf.DUMMYFUNCTION("IMPORTRANGE(""https://docs.google.com/spreadsheets/d/11923uPwbBZFjjGgGUA6NLw09EwE0CqkOc4q9oUmW1yo/edit?usp=sharing"",""นครสวรรค์!I362"")"),0)</f>
        <v>0</v>
      </c>
      <c r="J467" s="188">
        <f ca="1">IFERROR(__xludf.DUMMYFUNCTION("IMPORTRANGE(""https://docs.google.com/spreadsheets/d/11923uPwbBZFjjGgGUA6NLw09EwE0CqkOc4q9oUmW1yo/edit?usp=sharing"",""นครสวรรค์!J362"")"),33426)</f>
        <v>33426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IFERROR(__xludf.DUMMYFUNCTION("IMPORTRANGE(""https://docs.google.com/spreadsheets/d/11923uPwbBZFjjGgGUA6NLw09EwE0CqkOc4q9oUmW1yo/edit?usp=sharing"",""นครสวรรค์!I363"")"),0)</f>
        <v>0</v>
      </c>
      <c r="J468" s="188">
        <f ca="1">IFERROR(__xludf.DUMMYFUNCTION("IMPORTRANGE(""https://docs.google.com/spreadsheets/d/11923uPwbBZFjjGgGUA6NLw09EwE0CqkOc4q9oUmW1yo/edit?usp=sharing"",""นครสวรรค์!J363"")"),2614)</f>
        <v>2614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IFERROR(__xludf.DUMMYFUNCTION("IMPORTRANGE(""https://docs.google.com/spreadsheets/d/11923uPwbBZFjjGgGUA6NLw09EwE0CqkOc4q9oUmW1yo/edit?usp=sharing"",""นครสวรรค์!I364"")"),0)</f>
        <v>0</v>
      </c>
      <c r="J469" s="188">
        <f ca="1">IFERROR(__xludf.DUMMYFUNCTION("IMPORTRANGE(""https://docs.google.com/spreadsheets/d/11923uPwbBZFjjGgGUA6NLw09EwE0CqkOc4q9oUmW1yo/edit?usp=sharing"",""นครสวรรค์!J364"")"),11005)</f>
        <v>11005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IFERROR(__xludf.DUMMYFUNCTION("IMPORTRANGE(""https://docs.google.com/spreadsheets/d/11923uPwbBZFjjGgGUA6NLw09EwE0CqkOc4q9oUmW1yo/edit?usp=sharing"",""นครสวรรค์!I365"")"),0)</f>
        <v>0</v>
      </c>
      <c r="J470" s="188">
        <f ca="1">IFERROR(__xludf.DUMMYFUNCTION("IMPORTRANGE(""https://docs.google.com/spreadsheets/d/11923uPwbBZFjjGgGUA6NLw09EwE0CqkOc4q9oUmW1yo/edit?usp=sharing"",""นครสวรรค์!J365"")"),695)</f>
        <v>695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IFERROR(__xludf.DUMMYFUNCTION("IMPORTRANGE(""https://docs.google.com/spreadsheets/d/11923uPwbBZFjjGgGUA6NLw09EwE0CqkOc4q9oUmW1yo/edit?usp=sharing"",""นครสวรรค์!I366"")"),0)</f>
        <v>0</v>
      </c>
      <c r="J471" s="188">
        <f ca="1">IFERROR(__xludf.DUMMYFUNCTION("IMPORTRANGE(""https://docs.google.com/spreadsheets/d/11923uPwbBZFjjGgGUA6NLw09EwE0CqkOc4q9oUmW1yo/edit?usp=sharing"",""นครสวรรค์!J366"")"),1546)</f>
        <v>1546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IFERROR(__xludf.DUMMYFUNCTION("IMPORTRANGE(""https://docs.google.com/spreadsheets/d/11923uPwbBZFjjGgGUA6NLw09EwE0CqkOc4q9oUmW1yo/edit?usp=sharing"",""นครสวรรค์!I367"")"),0)</f>
        <v>0</v>
      </c>
      <c r="J472" s="188">
        <f ca="1">IFERROR(__xludf.DUMMYFUNCTION("IMPORTRANGE(""https://docs.google.com/spreadsheets/d/11923uPwbBZFjjGgGUA6NLw09EwE0CqkOc4q9oUmW1yo/edit?usp=sharing"",""นครสวรรค์!J367"")"),138)</f>
        <v>138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IFERROR(__xludf.DUMMYFUNCTION("IMPORTRANGE(""https://docs.google.com/spreadsheets/d/11923uPwbBZFjjGgGUA6NLw09EwE0CqkOc4q9oUmW1yo/edit?usp=sharing"",""นครสวรรค์!I368"")"),45976)</f>
        <v>45976</v>
      </c>
      <c r="J473" s="418">
        <f ca="1">IFERROR(__xludf.DUMMYFUNCTION("IMPORTRANGE(""https://docs.google.com/spreadsheets/d/11923uPwbBZFjjGgGUA6NLw09EwE0CqkOc4q9oUmW1yo/edit?usp=sharing"",""นครสวรรค์!J368"")"),0)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IFERROR(__xludf.DUMMYFUNCTION("IMPORTRANGE(""https://docs.google.com/spreadsheets/d/11923uPwbBZFjjGgGUA6NLw09EwE0CqkOc4q9oUmW1yo/edit?usp=sharing"",""นครสวรรค์!I369"")"),3447)</f>
        <v>3447</v>
      </c>
      <c r="J474" s="418">
        <f ca="1">IFERROR(__xludf.DUMMYFUNCTION("IMPORTRANGE(""https://docs.google.com/spreadsheets/d/11923uPwbBZFjjGgGUA6NLw09EwE0CqkOc4q9oUmW1yo/edit?usp=sharing"",""นครสวรรค์!J369"")"),0)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IFERROR(__xludf.DUMMYFUNCTION("IMPORTRANGE(""https://docs.google.com/spreadsheets/d/11923uPwbBZFjjGgGUA6NLw09EwE0CqkOc4q9oUmW1yo/edit?usp=sharing"",""นครสวรรค์!I370"")"),0)</f>
        <v>0</v>
      </c>
      <c r="J475" s="188">
        <f ca="1">IFERROR(__xludf.DUMMYFUNCTION("IMPORTRANGE(""https://docs.google.com/spreadsheets/d/11923uPwbBZFjjGgGUA6NLw09EwE0CqkOc4q9oUmW1yo/edit?usp=sharing"",""นครสวรรค์!J370"")"),0)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IFERROR(__xludf.DUMMYFUNCTION("IMPORTRANGE(""https://docs.google.com/spreadsheets/d/11923uPwbBZFjjGgGUA6NLw09EwE0CqkOc4q9oUmW1yo/edit?usp=sharing"",""นครสวรรค์!I371"")"),0)</f>
        <v>0</v>
      </c>
      <c r="J476" s="188">
        <f ca="1">IFERROR(__xludf.DUMMYFUNCTION("IMPORTRANGE(""https://docs.google.com/spreadsheets/d/11923uPwbBZFjjGgGUA6NLw09EwE0CqkOc4q9oUmW1yo/edit?usp=sharing"",""นครสวรรค์!J371"")"),0)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IFERROR(__xludf.DUMMYFUNCTION("IMPORTRANGE(""https://docs.google.com/spreadsheets/d/11923uPwbBZFjjGgGUA6NLw09EwE0CqkOc4q9oUmW1yo/edit?usp=sharing"",""นครสวรรค์!I372"")"),0)</f>
        <v>0</v>
      </c>
      <c r="J477" s="188">
        <f ca="1">IFERROR(__xludf.DUMMYFUNCTION("IMPORTRANGE(""https://docs.google.com/spreadsheets/d/11923uPwbBZFjjGgGUA6NLw09EwE0CqkOc4q9oUmW1yo/edit?usp=sharing"",""นครสวรรค์!J372"")"),0)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IFERROR(__xludf.DUMMYFUNCTION("IMPORTRANGE(""https://docs.google.com/spreadsheets/d/11923uPwbBZFjjGgGUA6NLw09EwE0CqkOc4q9oUmW1yo/edit?usp=sharing"",""นครสวรรค์!I373"")"),0)</f>
        <v>0</v>
      </c>
      <c r="J478" s="188">
        <f ca="1">IFERROR(__xludf.DUMMYFUNCTION("IMPORTRANGE(""https://docs.google.com/spreadsheets/d/11923uPwbBZFjjGgGUA6NLw09EwE0CqkOc4q9oUmW1yo/edit?usp=sharing"",""นครสวรรค์!J373"")"),0)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IFERROR(__xludf.DUMMYFUNCTION("IMPORTRANGE(""https://docs.google.com/spreadsheets/d/11923uPwbBZFjjGgGUA6NLw09EwE0CqkOc4q9oUmW1yo/edit?usp=sharing"",""นครสวรรค์!I374"")"),0)</f>
        <v>0</v>
      </c>
      <c r="J479" s="188">
        <f ca="1">IFERROR(__xludf.DUMMYFUNCTION("IMPORTRANGE(""https://docs.google.com/spreadsheets/d/11923uPwbBZFjjGgGUA6NLw09EwE0CqkOc4q9oUmW1yo/edit?usp=sharing"",""นครสวรรค์!J374"")"),0)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IFERROR(__xludf.DUMMYFUNCTION("IMPORTRANGE(""https://docs.google.com/spreadsheets/d/11923uPwbBZFjjGgGUA6NLw09EwE0CqkOc4q9oUmW1yo/edit?usp=sharing"",""นครสวรรค์!I375"")"),0)</f>
        <v>0</v>
      </c>
      <c r="J480" s="188">
        <f ca="1">IFERROR(__xludf.DUMMYFUNCTION("IMPORTRANGE(""https://docs.google.com/spreadsheets/d/11923uPwbBZFjjGgGUA6NLw09EwE0CqkOc4q9oUmW1yo/edit?usp=sharing"",""นครสวรรค์!J375"")"),0)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IFERROR(__xludf.DUMMYFUNCTION("IMPORTRANGE(""https://docs.google.com/spreadsheets/d/11923uPwbBZFjjGgGUA6NLw09EwE0CqkOc4q9oUmW1yo/edit?usp=sharing"",""นครสวรรค์!I376"")"),45976)</f>
        <v>45976</v>
      </c>
      <c r="J481" s="418">
        <f ca="1">IFERROR(__xludf.DUMMYFUNCTION("IMPORTRANGE(""https://docs.google.com/spreadsheets/d/11923uPwbBZFjjGgGUA6NLw09EwE0CqkOc4q9oUmW1yo/edit?usp=sharing"",""นครสวรรค์!J376"")"),0)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IFERROR(__xludf.DUMMYFUNCTION("IMPORTRANGE(""https://docs.google.com/spreadsheets/d/11923uPwbBZFjjGgGUA6NLw09EwE0CqkOc4q9oUmW1yo/edit?usp=sharing"",""นครสวรรค์!I377"")"),3447)</f>
        <v>3447</v>
      </c>
      <c r="J482" s="418">
        <f ca="1">IFERROR(__xludf.DUMMYFUNCTION("IMPORTRANGE(""https://docs.google.com/spreadsheets/d/11923uPwbBZFjjGgGUA6NLw09EwE0CqkOc4q9oUmW1yo/edit?usp=sharing"",""นครสวรรค์!J377"")"),0)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IFERROR(__xludf.DUMMYFUNCTION("IMPORTRANGE(""https://docs.google.com/spreadsheets/d/11923uPwbBZFjjGgGUA6NLw09EwE0CqkOc4q9oUmW1yo/edit?usp=sharing"",""นครสวรรค์!I378"")"),0)</f>
        <v>0</v>
      </c>
      <c r="J483" s="188">
        <f ca="1">IFERROR(__xludf.DUMMYFUNCTION("IMPORTRANGE(""https://docs.google.com/spreadsheets/d/11923uPwbBZFjjGgGUA6NLw09EwE0CqkOc4q9oUmW1yo/edit?usp=sharing"",""นครสวรรค์!J378"")"),0)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IFERROR(__xludf.DUMMYFUNCTION("IMPORTRANGE(""https://docs.google.com/spreadsheets/d/11923uPwbBZFjjGgGUA6NLw09EwE0CqkOc4q9oUmW1yo/edit?usp=sharing"",""นครสวรรค์!I379"")"),0)</f>
        <v>0</v>
      </c>
      <c r="J484" s="188">
        <f ca="1">IFERROR(__xludf.DUMMYFUNCTION("IMPORTRANGE(""https://docs.google.com/spreadsheets/d/11923uPwbBZFjjGgGUA6NLw09EwE0CqkOc4q9oUmW1yo/edit?usp=sharing"",""นครสวรรค์!J379"")"),0)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IFERROR(__xludf.DUMMYFUNCTION("IMPORTRANGE(""https://docs.google.com/spreadsheets/d/11923uPwbBZFjjGgGUA6NLw09EwE0CqkOc4q9oUmW1yo/edit?usp=sharing"",""นครสวรรค์!I380"")"),0)</f>
        <v>0</v>
      </c>
      <c r="J485" s="188">
        <f ca="1">IFERROR(__xludf.DUMMYFUNCTION("IMPORTRANGE(""https://docs.google.com/spreadsheets/d/11923uPwbBZFjjGgGUA6NLw09EwE0CqkOc4q9oUmW1yo/edit?usp=sharing"",""นครสวรรค์!J380"")"),0)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IFERROR(__xludf.DUMMYFUNCTION("IMPORTRANGE(""https://docs.google.com/spreadsheets/d/11923uPwbBZFjjGgGUA6NLw09EwE0CqkOc4q9oUmW1yo/edit?usp=sharing"",""นครสวรรค์!I381"")"),0)</f>
        <v>0</v>
      </c>
      <c r="J486" s="188">
        <f ca="1">IFERROR(__xludf.DUMMYFUNCTION("IMPORTRANGE(""https://docs.google.com/spreadsheets/d/11923uPwbBZFjjGgGUA6NLw09EwE0CqkOc4q9oUmW1yo/edit?usp=sharing"",""นครสวรรค์!J381"")"),0)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IFERROR(__xludf.DUMMYFUNCTION("IMPORTRANGE(""https://docs.google.com/spreadsheets/d/11923uPwbBZFjjGgGUA6NLw09EwE0CqkOc4q9oUmW1yo/edit?usp=sharing"",""นครสวรรค์!I382"")"),0)</f>
        <v>0</v>
      </c>
      <c r="J487" s="418">
        <f ca="1">IFERROR(__xludf.DUMMYFUNCTION("IMPORTRANGE(""https://docs.google.com/spreadsheets/d/11923uPwbBZFjjGgGUA6NLw09EwE0CqkOc4q9oUmW1yo/edit?usp=sharing"",""นครสวรรค์!J382"")"),0)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IFERROR(__xludf.DUMMYFUNCTION("IMPORTRANGE(""https://docs.google.com/spreadsheets/d/11923uPwbBZFjjGgGUA6NLw09EwE0CqkOc4q9oUmW1yo/edit?usp=sharing"",""นครสวรรค์!I383"")"),0)</f>
        <v>0</v>
      </c>
      <c r="J488" s="418">
        <f ca="1">IFERROR(__xludf.DUMMYFUNCTION("IMPORTRANGE(""https://docs.google.com/spreadsheets/d/11923uPwbBZFjjGgGUA6NLw09EwE0CqkOc4q9oUmW1yo/edit?usp=sharing"",""นครสวรรค์!J383"")"),0)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IFERROR(__xludf.DUMMYFUNCTION("IMPORTRANGE(""https://docs.google.com/spreadsheets/d/11923uPwbBZFjjGgGUA6NLw09EwE0CqkOc4q9oUmW1yo/edit?usp=sharing"",""นครสวรรค์!I384"")"),0)</f>
        <v>0</v>
      </c>
      <c r="J489" s="188">
        <f ca="1">IFERROR(__xludf.DUMMYFUNCTION("IMPORTRANGE(""https://docs.google.com/spreadsheets/d/11923uPwbBZFjjGgGUA6NLw09EwE0CqkOc4q9oUmW1yo/edit?usp=sharing"",""นครสวรรค์!J384"")"),0)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IFERROR(__xludf.DUMMYFUNCTION("IMPORTRANGE(""https://docs.google.com/spreadsheets/d/11923uPwbBZFjjGgGUA6NLw09EwE0CqkOc4q9oUmW1yo/edit?usp=sharing"",""นครสวรรค์!I385"")"),0)</f>
        <v>0</v>
      </c>
      <c r="J490" s="188">
        <f ca="1">IFERROR(__xludf.DUMMYFUNCTION("IMPORTRANGE(""https://docs.google.com/spreadsheets/d/11923uPwbBZFjjGgGUA6NLw09EwE0CqkOc4q9oUmW1yo/edit?usp=sharing"",""นครสวรรค์!J385"")"),0)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IFERROR(__xludf.DUMMYFUNCTION("IMPORTRANGE(""https://docs.google.com/spreadsheets/d/11923uPwbBZFjjGgGUA6NLw09EwE0CqkOc4q9oUmW1yo/edit?usp=sharing"",""นครสวรรค์!I386"")"),0)</f>
        <v>0</v>
      </c>
      <c r="J491" s="188">
        <f ca="1">IFERROR(__xludf.DUMMYFUNCTION("IMPORTRANGE(""https://docs.google.com/spreadsheets/d/11923uPwbBZFjjGgGUA6NLw09EwE0CqkOc4q9oUmW1yo/edit?usp=sharing"",""นครสวรรค์!J386"")"),0)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IFERROR(__xludf.DUMMYFUNCTION("IMPORTRANGE(""https://docs.google.com/spreadsheets/d/11923uPwbBZFjjGgGUA6NLw09EwE0CqkOc4q9oUmW1yo/edit?usp=sharing"",""นครสวรรค์!I387"")"),0)</f>
        <v>0</v>
      </c>
      <c r="J492" s="188">
        <f ca="1">IFERROR(__xludf.DUMMYFUNCTION("IMPORTRANGE(""https://docs.google.com/spreadsheets/d/11923uPwbBZFjjGgGUA6NLw09EwE0CqkOc4q9oUmW1yo/edit?usp=sharing"",""นครสวรรค์!J387"")"),0)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IFERROR(__xludf.DUMMYFUNCTION("IMPORTRANGE(""https://docs.google.com/spreadsheets/d/11923uPwbBZFjjGgGUA6NLw09EwE0CqkOc4q9oUmW1yo/edit?usp=sharing"",""นครสวรรค์!I388"")"),0)</f>
        <v>0</v>
      </c>
      <c r="J493" s="188">
        <f ca="1">IFERROR(__xludf.DUMMYFUNCTION("IMPORTRANGE(""https://docs.google.com/spreadsheets/d/11923uPwbBZFjjGgGUA6NLw09EwE0CqkOc4q9oUmW1yo/edit?usp=sharing"",""นครสวรรค์!J388"")"),0)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IFERROR(__xludf.DUMMYFUNCTION("IMPORTRANGE(""https://docs.google.com/spreadsheets/d/11923uPwbBZFjjGgGUA6NLw09EwE0CqkOc4q9oUmW1yo/edit?usp=sharing"",""นครสวรรค์!I389"")"),0)</f>
        <v>0</v>
      </c>
      <c r="J494" s="434">
        <f ca="1">IFERROR(__xludf.DUMMYFUNCTION("IMPORTRANGE(""https://docs.google.com/spreadsheets/d/11923uPwbBZFjjGgGUA6NLw09EwE0CqkOc4q9oUmW1yo/edit?usp=sharing"",""นครสวรรค์!J389"")"),0)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IFERROR(__xludf.DUMMYFUNCTION("IMPORTRANGE(""https://docs.google.com/spreadsheets/d/11923uPwbBZFjjGgGUA6NLw09EwE0CqkOc4q9oUmW1yo/edit?usp=sharing"",""นครสวรรค์!I390"")"),0)</f>
        <v>0</v>
      </c>
      <c r="J495" s="434">
        <f ca="1">IFERROR(__xludf.DUMMYFUNCTION("IMPORTRANGE(""https://docs.google.com/spreadsheets/d/11923uPwbBZFjjGgGUA6NLw09EwE0CqkOc4q9oUmW1yo/edit?usp=sharing"",""นครสวรรค์!J390"")"),0)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IFERROR(__xludf.DUMMYFUNCTION("IMPORTRANGE(""https://docs.google.com/spreadsheets/d/11923uPwbBZFjjGgGUA6NLw09EwE0CqkOc4q9oUmW1yo/edit?usp=sharing"",""นครสวรรค์!I391"")"),0)</f>
        <v>0</v>
      </c>
      <c r="J496" s="434">
        <f ca="1">IFERROR(__xludf.DUMMYFUNCTION("IMPORTRANGE(""https://docs.google.com/spreadsheets/d/11923uPwbBZFjjGgGUA6NLw09EwE0CqkOc4q9oUmW1yo/edit?usp=sharing"",""นครสวรรค์!J391"")"),0)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IFERROR(__xludf.DUMMYFUNCTION("IMPORTRANGE(""https://docs.google.com/spreadsheets/d/11923uPwbBZFjjGgGUA6NLw09EwE0CqkOc4q9oUmW1yo/edit?usp=sharing"",""นครสวรรค์!I392"")"),14261)</f>
        <v>14261</v>
      </c>
      <c r="J497" s="441">
        <f ca="1">IFERROR(__xludf.DUMMYFUNCTION("IMPORTRANGE(""https://docs.google.com/spreadsheets/d/11923uPwbBZFjjGgGUA6NLw09EwE0CqkOc4q9oUmW1yo/edit?usp=sharing"",""นครสวรรค์!J392"")"),0)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IFERROR(__xludf.DUMMYFUNCTION("IMPORTRANGE(""https://docs.google.com/spreadsheets/d/11923uPwbBZFjjGgGUA6NLw09EwE0CqkOc4q9oUmW1yo/edit?usp=sharing"",""นครสวรรค์!I393"")"),14261)</f>
        <v>14261</v>
      </c>
      <c r="J498" s="418">
        <f ca="1">IFERROR(__xludf.DUMMYFUNCTION("IMPORTRANGE(""https://docs.google.com/spreadsheets/d/11923uPwbBZFjjGgGUA6NLw09EwE0CqkOc4q9oUmW1yo/edit?usp=sharing"",""นครสวรรค์!J393"")"),0)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IFERROR(__xludf.DUMMYFUNCTION("IMPORTRANGE(""https://docs.google.com/spreadsheets/d/11923uPwbBZFjjGgGUA6NLw09EwE0CqkOc4q9oUmW1yo/edit?usp=sharing"",""นครสวรรค์!I394"")"),770)</f>
        <v>770</v>
      </c>
      <c r="J499" s="418">
        <f ca="1">IFERROR(__xludf.DUMMYFUNCTION("IMPORTRANGE(""https://docs.google.com/spreadsheets/d/11923uPwbBZFjjGgGUA6NLw09EwE0CqkOc4q9oUmW1yo/edit?usp=sharing"",""นครสวรรค์!J394"")"),0)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IFERROR(__xludf.DUMMYFUNCTION("IMPORTRANGE(""https://docs.google.com/spreadsheets/d/11923uPwbBZFjjGgGUA6NLw09EwE0CqkOc4q9oUmW1yo/edit?usp=sharing"",""นครสวรรค์!I395"")"),0)</f>
        <v>0</v>
      </c>
      <c r="J500" s="162">
        <f ca="1">IFERROR(__xludf.DUMMYFUNCTION("IMPORTRANGE(""https://docs.google.com/spreadsheets/d/11923uPwbBZFjjGgGUA6NLw09EwE0CqkOc4q9oUmW1yo/edit?usp=sharing"",""นครสวรรค์!J395"")"),0)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IFERROR(__xludf.DUMMYFUNCTION("IMPORTRANGE(""https://docs.google.com/spreadsheets/d/11923uPwbBZFjjGgGUA6NLw09EwE0CqkOc4q9oUmW1yo/edit?usp=sharing"",""นครสวรรค์!I396"")"),0)</f>
        <v>0</v>
      </c>
      <c r="J501" s="162">
        <f ca="1">IFERROR(__xludf.DUMMYFUNCTION("IMPORTRANGE(""https://docs.google.com/spreadsheets/d/11923uPwbBZFjjGgGUA6NLw09EwE0CqkOc4q9oUmW1yo/edit?usp=sharing"",""นครสวรรค์!J396"")"),0)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IFERROR(__xludf.DUMMYFUNCTION("IMPORTRANGE(""https://docs.google.com/spreadsheets/d/11923uPwbBZFjjGgGUA6NLw09EwE0CqkOc4q9oUmW1yo/edit?usp=sharing"",""นครสวรรค์!I397"")"),0)</f>
        <v>0</v>
      </c>
      <c r="J502" s="188">
        <f ca="1">IFERROR(__xludf.DUMMYFUNCTION("IMPORTRANGE(""https://docs.google.com/spreadsheets/d/11923uPwbBZFjjGgGUA6NLw09EwE0CqkOc4q9oUmW1yo/edit?usp=sharing"",""นครสวรรค์!J397"")"),0)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IFERROR(__xludf.DUMMYFUNCTION("IMPORTRANGE(""https://docs.google.com/spreadsheets/d/11923uPwbBZFjjGgGUA6NLw09EwE0CqkOc4q9oUmW1yo/edit?usp=sharing"",""นครสวรรค์!I398"")"),0)</f>
        <v>0</v>
      </c>
      <c r="J503" s="197">
        <f ca="1">IFERROR(__xludf.DUMMYFUNCTION("IMPORTRANGE(""https://docs.google.com/spreadsheets/d/11923uPwbBZFjjGgGUA6NLw09EwE0CqkOc4q9oUmW1yo/edit?usp=sharing"",""นครสวรรค์!J398"")"),0)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IFERROR(__xludf.DUMMYFUNCTION("IMPORTRANGE(""https://docs.google.com/spreadsheets/d/11923uPwbBZFjjGgGUA6NLw09EwE0CqkOc4q9oUmW1yo/edit?usp=sharing"",""นครสวรรค์!I399"")"),0)</f>
        <v>0</v>
      </c>
      <c r="J504" s="188">
        <f ca="1">IFERROR(__xludf.DUMMYFUNCTION("IMPORTRANGE(""https://docs.google.com/spreadsheets/d/11923uPwbBZFjjGgGUA6NLw09EwE0CqkOc4q9oUmW1yo/edit?usp=sharing"",""นครสวรรค์!J399"")"),0)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IFERROR(__xludf.DUMMYFUNCTION("IMPORTRANGE(""https://docs.google.com/spreadsheets/d/11923uPwbBZFjjGgGUA6NLw09EwE0CqkOc4q9oUmW1yo/edit?usp=sharing"",""นครสวรรค์!I400"")"),0)</f>
        <v>0</v>
      </c>
      <c r="J505" s="197">
        <f ca="1">IFERROR(__xludf.DUMMYFUNCTION("IMPORTRANGE(""https://docs.google.com/spreadsheets/d/11923uPwbBZFjjGgGUA6NLw09EwE0CqkOc4q9oUmW1yo/edit?usp=sharing"",""นครสวรรค์!J400"")"),0)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IFERROR(__xludf.DUMMYFUNCTION("IMPORTRANGE(""https://docs.google.com/spreadsheets/d/11923uPwbBZFjjGgGUA6NLw09EwE0CqkOc4q9oUmW1yo/edit?usp=sharing"",""นครสวรรค์!I401"")"),0)</f>
        <v>0</v>
      </c>
      <c r="J506" s="188">
        <f ca="1">IFERROR(__xludf.DUMMYFUNCTION("IMPORTRANGE(""https://docs.google.com/spreadsheets/d/11923uPwbBZFjjGgGUA6NLw09EwE0CqkOc4q9oUmW1yo/edit?usp=sharing"",""นครสวรรค์!J401"")"),0)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IFERROR(__xludf.DUMMYFUNCTION("IMPORTRANGE(""https://docs.google.com/spreadsheets/d/11923uPwbBZFjjGgGUA6NLw09EwE0CqkOc4q9oUmW1yo/edit?usp=sharing"",""นครสวรรค์!I402"")"),0)</f>
        <v>0</v>
      </c>
      <c r="J507" s="197">
        <f ca="1">IFERROR(__xludf.DUMMYFUNCTION("IMPORTRANGE(""https://docs.google.com/spreadsheets/d/11923uPwbBZFjjGgGUA6NLw09EwE0CqkOc4q9oUmW1yo/edit?usp=sharing"",""นครสวรรค์!J402"")"),0)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IFERROR(__xludf.DUMMYFUNCTION("IMPORTRANGE(""https://docs.google.com/spreadsheets/d/11923uPwbBZFjjGgGUA6NLw09EwE0CqkOc4q9oUmW1yo/edit?usp=sharing"",""นครสวรรค์!I403"")"),0)</f>
        <v>0</v>
      </c>
      <c r="J508" s="162">
        <f ca="1">IFERROR(__xludf.DUMMYFUNCTION("IMPORTRANGE(""https://docs.google.com/spreadsheets/d/11923uPwbBZFjjGgGUA6NLw09EwE0CqkOc4q9oUmW1yo/edit?usp=sharing"",""นครสวรรค์!J403"")"),0)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IFERROR(__xludf.DUMMYFUNCTION("IMPORTRANGE(""https://docs.google.com/spreadsheets/d/11923uPwbBZFjjGgGUA6NLw09EwE0CqkOc4q9oUmW1yo/edit?usp=sharing"",""นครสวรรค์!I404"")"),0)</f>
        <v>0</v>
      </c>
      <c r="J509" s="162">
        <f ca="1">IFERROR(__xludf.DUMMYFUNCTION("IMPORTRANGE(""https://docs.google.com/spreadsheets/d/11923uPwbBZFjjGgGUA6NLw09EwE0CqkOc4q9oUmW1yo/edit?usp=sharing"",""นครสวรรค์!J404"")"),0)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IFERROR(__xludf.DUMMYFUNCTION("IMPORTRANGE(""https://docs.google.com/spreadsheets/d/11923uPwbBZFjjGgGUA6NLw09EwE0CqkOc4q9oUmW1yo/edit?usp=sharing"",""นครสวรรค์!I405"")"),0)</f>
        <v>0</v>
      </c>
      <c r="J510" s="197">
        <f ca="1">IFERROR(__xludf.DUMMYFUNCTION("IMPORTRANGE(""https://docs.google.com/spreadsheets/d/11923uPwbBZFjjGgGUA6NLw09EwE0CqkOc4q9oUmW1yo/edit?usp=sharing"",""นครสวรรค์!J405"")"),0)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IFERROR(__xludf.DUMMYFUNCTION("IMPORTRANGE(""https://docs.google.com/spreadsheets/d/11923uPwbBZFjjGgGUA6NLw09EwE0CqkOc4q9oUmW1yo/edit?usp=sharing"",""นครสวรรค์!I406"")"),0)</f>
        <v>0</v>
      </c>
      <c r="J511" s="197">
        <f ca="1">IFERROR(__xludf.DUMMYFUNCTION("IMPORTRANGE(""https://docs.google.com/spreadsheets/d/11923uPwbBZFjjGgGUA6NLw09EwE0CqkOc4q9oUmW1yo/edit?usp=sharing"",""นครสวรรค์!J406"")"),0)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IFERROR(__xludf.DUMMYFUNCTION("IMPORTRANGE(""https://docs.google.com/spreadsheets/d/11923uPwbBZFjjGgGUA6NLw09EwE0CqkOc4q9oUmW1yo/edit?usp=sharing"",""นครสวรรค์!I407"")"),0)</f>
        <v>0</v>
      </c>
      <c r="J512" s="197">
        <f ca="1">IFERROR(__xludf.DUMMYFUNCTION("IMPORTRANGE(""https://docs.google.com/spreadsheets/d/11923uPwbBZFjjGgGUA6NLw09EwE0CqkOc4q9oUmW1yo/edit?usp=sharing"",""นครสวรรค์!J407"")"),0)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IFERROR(__xludf.DUMMYFUNCTION("IMPORTRANGE(""https://docs.google.com/spreadsheets/d/11923uPwbBZFjjGgGUA6NLw09EwE0CqkOc4q9oUmW1yo/edit?usp=sharing"",""นครสวรรค์!I408"")"),0)</f>
        <v>0</v>
      </c>
      <c r="J513" s="197">
        <f ca="1">IFERROR(__xludf.DUMMYFUNCTION("IMPORTRANGE(""https://docs.google.com/spreadsheets/d/11923uPwbBZFjjGgGUA6NLw09EwE0CqkOc4q9oUmW1yo/edit?usp=sharing"",""นครสวรรค์!J408"")"),0)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IFERROR(__xludf.DUMMYFUNCTION("IMPORTRANGE(""https://docs.google.com/spreadsheets/d/11923uPwbBZFjjGgGUA6NLw09EwE0CqkOc4q9oUmW1yo/edit?usp=sharing"",""นครสวรรค์!I409"")"),0)</f>
        <v>0</v>
      </c>
      <c r="J514" s="197">
        <f ca="1">IFERROR(__xludf.DUMMYFUNCTION("IMPORTRANGE(""https://docs.google.com/spreadsheets/d/11923uPwbBZFjjGgGUA6NLw09EwE0CqkOc4q9oUmW1yo/edit?usp=sharing"",""นครสวรรค์!J409"")"),0)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IFERROR(__xludf.DUMMYFUNCTION("IMPORTRANGE(""https://docs.google.com/spreadsheets/d/11923uPwbBZFjjGgGUA6NLw09EwE0CqkOc4q9oUmW1yo/edit?usp=sharing"",""นครสวรรค์!I410"")"),0)</f>
        <v>0</v>
      </c>
      <c r="J515" s="197">
        <f ca="1">IFERROR(__xludf.DUMMYFUNCTION("IMPORTRANGE(""https://docs.google.com/spreadsheets/d/11923uPwbBZFjjGgGUA6NLw09EwE0CqkOc4q9oUmW1yo/edit?usp=sharing"",""นครสวรรค์!J410"")"),0)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IFERROR(__xludf.DUMMYFUNCTION("IMPORTRANGE(""https://docs.google.com/spreadsheets/d/11923uPwbBZFjjGgGUA6NLw09EwE0CqkOc4q9oUmW1yo/edit?usp=sharing"",""นครสวรรค์!I411"")"),0)</f>
        <v>0</v>
      </c>
      <c r="J516" s="266">
        <f ca="1">IFERROR(__xludf.DUMMYFUNCTION("IMPORTRANGE(""https://docs.google.com/spreadsheets/d/11923uPwbBZFjjGgGUA6NLw09EwE0CqkOc4q9oUmW1yo/edit?usp=sharing"",""นครสวรรค์!J411"")"),0)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IFERROR(__xludf.DUMMYFUNCTION("IMPORTRANGE(""https://docs.google.com/spreadsheets/d/11923uPwbBZFjjGgGUA6NLw09EwE0CqkOc4q9oUmW1yo/edit?usp=sharing"",""นครสวรรค์!I412"")"),0)</f>
        <v>0</v>
      </c>
      <c r="J517" s="282">
        <f ca="1">IFERROR(__xludf.DUMMYFUNCTION("IMPORTRANGE(""https://docs.google.com/spreadsheets/d/11923uPwbBZFjjGgGUA6NLw09EwE0CqkOc4q9oUmW1yo/edit?usp=sharing"",""นครสวรรค์!J412"")"),0)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IFERROR(__xludf.DUMMYFUNCTION("IMPORTRANGE(""https://docs.google.com/spreadsheets/d/11923uPwbBZFjjGgGUA6NLw09EwE0CqkOc4q9oUmW1yo/edit?usp=sharing"",""นครสวรรค์!I413"")"),0)</f>
        <v>0</v>
      </c>
      <c r="J518" s="282">
        <f ca="1">IFERROR(__xludf.DUMMYFUNCTION("IMPORTRANGE(""https://docs.google.com/spreadsheets/d/11923uPwbBZFjjGgGUA6NLw09EwE0CqkOc4q9oUmW1yo/edit?usp=sharing"",""นครสวรรค์!J413"")"),0)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IFERROR(__xludf.DUMMYFUNCTION("IMPORTRANGE(""https://docs.google.com/spreadsheets/d/11923uPwbBZFjjGgGUA6NLw09EwE0CqkOc4q9oUmW1yo/edit?usp=sharing"",""นครสวรรค์!I414"")"),0)</f>
        <v>0</v>
      </c>
      <c r="J519" s="187">
        <f ca="1">IFERROR(__xludf.DUMMYFUNCTION("IMPORTRANGE(""https://docs.google.com/spreadsheets/d/11923uPwbBZFjjGgGUA6NLw09EwE0CqkOc4q9oUmW1yo/edit?usp=sharing"",""นครสวรรค์!J414"")"),0)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IFERROR(__xludf.DUMMYFUNCTION("IMPORTRANGE(""https://docs.google.com/spreadsheets/d/11923uPwbBZFjjGgGUA6NLw09EwE0CqkOc4q9oUmW1yo/edit?usp=sharing"",""นครสวรรค์!I415"")"),0)</f>
        <v>0</v>
      </c>
      <c r="J520" s="187">
        <f ca="1">IFERROR(__xludf.DUMMYFUNCTION("IMPORTRANGE(""https://docs.google.com/spreadsheets/d/11923uPwbBZFjjGgGUA6NLw09EwE0CqkOc4q9oUmW1yo/edit?usp=sharing"",""นครสวรรค์!J415"")"),0)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IFERROR(__xludf.DUMMYFUNCTION("IMPORTRANGE(""https://docs.google.com/spreadsheets/d/11923uPwbBZFjjGgGUA6NLw09EwE0CqkOc4q9oUmW1yo/edit?usp=sharing"",""นครสวรรค์!I416"")"),0)</f>
        <v>0</v>
      </c>
      <c r="J521" s="187">
        <f ca="1">IFERROR(__xludf.DUMMYFUNCTION("IMPORTRANGE(""https://docs.google.com/spreadsheets/d/11923uPwbBZFjjGgGUA6NLw09EwE0CqkOc4q9oUmW1yo/edit?usp=sharing"",""นครสวรรค์!J416"")"),0)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IFERROR(__xludf.DUMMYFUNCTION("IMPORTRANGE(""https://docs.google.com/spreadsheets/d/11923uPwbBZFjjGgGUA6NLw09EwE0CqkOc4q9oUmW1yo/edit?usp=sharing"",""นครสวรรค์!I417"")"),0)</f>
        <v>0</v>
      </c>
      <c r="J522" s="187">
        <f ca="1">IFERROR(__xludf.DUMMYFUNCTION("IMPORTRANGE(""https://docs.google.com/spreadsheets/d/11923uPwbBZFjjGgGUA6NLw09EwE0CqkOc4q9oUmW1yo/edit?usp=sharing"",""นครสวรรค์!J417"")"),0)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IFERROR(__xludf.DUMMYFUNCTION("IMPORTRANGE(""https://docs.google.com/spreadsheets/d/11923uPwbBZFjjGgGUA6NLw09EwE0CqkOc4q9oUmW1yo/edit?usp=sharing"",""นครสวรรค์!I418"")"),0)</f>
        <v>0</v>
      </c>
      <c r="J523" s="187">
        <f ca="1">IFERROR(__xludf.DUMMYFUNCTION("IMPORTRANGE(""https://docs.google.com/spreadsheets/d/11923uPwbBZFjjGgGUA6NLw09EwE0CqkOc4q9oUmW1yo/edit?usp=sharing"",""นครสวรรค์!J418"")"),0)</f>
        <v>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IFERROR(__xludf.DUMMYFUNCTION("IMPORTRANGE(""https://docs.google.com/spreadsheets/d/11923uPwbBZFjjGgGUA6NLw09EwE0CqkOc4q9oUmW1yo/edit?usp=sharing"",""นครสวรรค์!I419"")"),0)</f>
        <v>0</v>
      </c>
      <c r="J524" s="187">
        <f ca="1">IFERROR(__xludf.DUMMYFUNCTION("IMPORTRANGE(""https://docs.google.com/spreadsheets/d/11923uPwbBZFjjGgGUA6NLw09EwE0CqkOc4q9oUmW1yo/edit?usp=sharing"",""นครสวรรค์!J419"")"),0)</f>
        <v>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IFERROR(__xludf.DUMMYFUNCTION("IMPORTRANGE(""https://docs.google.com/spreadsheets/d/11923uPwbBZFjjGgGUA6NLw09EwE0CqkOc4q9oUmW1yo/edit?usp=sharing"",""นครสวรรค์!I420"")"),0)</f>
        <v>0</v>
      </c>
      <c r="J525" s="282">
        <f ca="1">IFERROR(__xludf.DUMMYFUNCTION("IMPORTRANGE(""https://docs.google.com/spreadsheets/d/11923uPwbBZFjjGgGUA6NLw09EwE0CqkOc4q9oUmW1yo/edit?usp=sharing"",""นครสวรรค์!J420"")"),0)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IFERROR(__xludf.DUMMYFUNCTION("IMPORTRANGE(""https://docs.google.com/spreadsheets/d/11923uPwbBZFjjGgGUA6NLw09EwE0CqkOc4q9oUmW1yo/edit?usp=sharing"",""นครสวรรค์!I421"")"),0)</f>
        <v>0</v>
      </c>
      <c r="J526" s="282">
        <f ca="1">IFERROR(__xludf.DUMMYFUNCTION("IMPORTRANGE(""https://docs.google.com/spreadsheets/d/11923uPwbBZFjjGgGUA6NLw09EwE0CqkOc4q9oUmW1yo/edit?usp=sharing"",""นครสวรรค์!J421"")"),0)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IFERROR(__xludf.DUMMYFUNCTION("IMPORTRANGE(""https://docs.google.com/spreadsheets/d/11923uPwbBZFjjGgGUA6NLw09EwE0CqkOc4q9oUmW1yo/edit?usp=sharing"",""นครสวรรค์!I422"")"),0)</f>
        <v>0</v>
      </c>
      <c r="J527" s="197">
        <f ca="1">IFERROR(__xludf.DUMMYFUNCTION("IMPORTRANGE(""https://docs.google.com/spreadsheets/d/11923uPwbBZFjjGgGUA6NLw09EwE0CqkOc4q9oUmW1yo/edit?usp=sharing"",""นครสวรรค์!J422"")"),0)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IFERROR(__xludf.DUMMYFUNCTION("IMPORTRANGE(""https://docs.google.com/spreadsheets/d/11923uPwbBZFjjGgGUA6NLw09EwE0CqkOc4q9oUmW1yo/edit?usp=sharing"",""นครสวรรค์!I423"")"),0)</f>
        <v>0</v>
      </c>
      <c r="J528" s="197">
        <f ca="1">IFERROR(__xludf.DUMMYFUNCTION("IMPORTRANGE(""https://docs.google.com/spreadsheets/d/11923uPwbBZFjjGgGUA6NLw09EwE0CqkOc4q9oUmW1yo/edit?usp=sharing"",""นครสวรรค์!J423"")"),0)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IFERROR(__xludf.DUMMYFUNCTION("IMPORTRANGE(""https://docs.google.com/spreadsheets/d/11923uPwbBZFjjGgGUA6NLw09EwE0CqkOc4q9oUmW1yo/edit?usp=sharing"",""นครสวรรค์!I424"")"),0)</f>
        <v>0</v>
      </c>
      <c r="J529" s="197">
        <f ca="1">IFERROR(__xludf.DUMMYFUNCTION("IMPORTRANGE(""https://docs.google.com/spreadsheets/d/11923uPwbBZFjjGgGUA6NLw09EwE0CqkOc4q9oUmW1yo/edit?usp=sharing"",""นครสวรรค์!J424"")"),0)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IFERROR(__xludf.DUMMYFUNCTION("IMPORTRANGE(""https://docs.google.com/spreadsheets/d/11923uPwbBZFjjGgGUA6NLw09EwE0CqkOc4q9oUmW1yo/edit?usp=sharing"",""นครสวรรค์!I425"")"),0)</f>
        <v>0</v>
      </c>
      <c r="J530" s="197">
        <f ca="1">IFERROR(__xludf.DUMMYFUNCTION("IMPORTRANGE(""https://docs.google.com/spreadsheets/d/11923uPwbBZFjjGgGUA6NLw09EwE0CqkOc4q9oUmW1yo/edit?usp=sharing"",""นครสวรรค์!J425"")"),0)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IFERROR(__xludf.DUMMYFUNCTION("IMPORTRANGE(""https://docs.google.com/spreadsheets/d/11923uPwbBZFjjGgGUA6NLw09EwE0CqkOc4q9oUmW1yo/edit?usp=sharing"",""นครสวรรค์!I426"")"),0)</f>
        <v>0</v>
      </c>
      <c r="J531" s="197">
        <f ca="1">IFERROR(__xludf.DUMMYFUNCTION("IMPORTRANGE(""https://docs.google.com/spreadsheets/d/11923uPwbBZFjjGgGUA6NLw09EwE0CqkOc4q9oUmW1yo/edit?usp=sharing"",""นครสวรรค์!J426"")"),0)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IFERROR(__xludf.DUMMYFUNCTION("IMPORTRANGE(""https://docs.google.com/spreadsheets/d/11923uPwbBZFjjGgGUA6NLw09EwE0CqkOc4q9oUmW1yo/edit?usp=sharing"",""นครสวรรค์!I427"")"),0)</f>
        <v>0</v>
      </c>
      <c r="J532" s="464">
        <f ca="1">IFERROR(__xludf.DUMMYFUNCTION("IMPORTRANGE(""https://docs.google.com/spreadsheets/d/11923uPwbBZFjjGgGUA6NLw09EwE0CqkOc4q9oUmW1yo/edit?usp=sharing"",""นครสวรรค์!J427"")"),0)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IFERROR(__xludf.DUMMYFUNCTION("IMPORTRANGE(""https://docs.google.com/spreadsheets/d/11923uPwbBZFjjGgGUA6NLw09EwE0CqkOc4q9oUmW1yo/edit?usp=sharing"",""นครสวรรค์!I428"")"),22)</f>
        <v>22</v>
      </c>
      <c r="J533" s="408">
        <f ca="1">IFERROR(__xludf.DUMMYFUNCTION("IMPORTRANGE(""https://docs.google.com/spreadsheets/d/11923uPwbBZFjjGgGUA6NLw09EwE0CqkOc4q9oUmW1yo/edit?usp=sharing"",""นครสวรรค์!J428"")"),22)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IFERROR(__xludf.DUMMYFUNCTION("IMPORTRANGE(""https://docs.google.com/spreadsheets/d/11923uPwbBZFjjGgGUA6NLw09EwE0CqkOc4q9oUmW1yo/edit?usp=sharing"",""นครสวรรค์!L428"")"),34340)</f>
        <v>34340</v>
      </c>
      <c r="M533" s="410"/>
      <c r="N533" s="410">
        <f ca="1">IFERROR(__xludf.DUMMYFUNCTION("IMPORTRANGE(""https://docs.google.com/spreadsheets/d/11923uPwbBZFjjGgGUA6NLw09EwE0CqkOc4q9oUmW1yo/edit?usp=sharing"",""นครสวรรค์!M428"")"),19715)</f>
        <v>19715</v>
      </c>
      <c r="O533" s="410">
        <f t="shared" ref="O533:O537" ca="1" si="118">+IF(L533&gt;0,N533*100/L533,0)</f>
        <v>57.411182294700055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IFERROR(__xludf.DUMMYFUNCTION("IMPORTRANGE(""https://docs.google.com/spreadsheets/d/11923uPwbBZFjjGgGUA6NLw09EwE0CqkOc4q9oUmW1yo/edit?usp=sharing"",""นครสวรรค์!L429"")"),0)</f>
        <v>0</v>
      </c>
      <c r="M534" s="164"/>
      <c r="N534" s="168">
        <f ca="1">IFERROR(__xludf.DUMMYFUNCTION("IMPORTRANGE(""https://docs.google.com/spreadsheets/d/11923uPwbBZFjjGgGUA6NLw09EwE0CqkOc4q9oUmW1yo/edit?usp=sharing"",""นครสวรรค์!M429"")"),0)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IFERROR(__xludf.DUMMYFUNCTION("IMPORTRANGE(""https://docs.google.com/spreadsheets/d/11923uPwbBZFjjGgGUA6NLw09EwE0CqkOc4q9oUmW1yo/edit?usp=sharing"",""นครสวรรค์!L430"")"),34340)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IFERROR(__xludf.DUMMYFUNCTION("IMPORTRANGE(""https://docs.google.com/spreadsheets/d/11923uPwbBZFjjGgGUA6NLw09EwE0CqkOc4q9oUmW1yo/edit?usp=sharing"",""นครสวรรค์!M430"")"),19715)</f>
        <v>19715</v>
      </c>
      <c r="O535" s="168">
        <f t="shared" ca="1" si="118"/>
        <v>57.411182294700055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IFERROR(__xludf.DUMMYFUNCTION("IMPORTRANGE(""https://docs.google.com/spreadsheets/d/11923uPwbBZFjjGgGUA6NLw09EwE0CqkOc4q9oUmW1yo/edit?usp=sharing"",""นครสวรรค์!L431"")"),0)</f>
        <v>0</v>
      </c>
      <c r="M536" s="168"/>
      <c r="N536" s="168">
        <f ca="1">IFERROR(__xludf.DUMMYFUNCTION("IMPORTRANGE(""https://docs.google.com/spreadsheets/d/11923uPwbBZFjjGgGUA6NLw09EwE0CqkOc4q9oUmW1yo/edit?usp=sharing"",""นครสวรรค์!M431"")"),0)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IFERROR(__xludf.DUMMYFUNCTION("IMPORTRANGE(""https://docs.google.com/spreadsheets/d/11923uPwbBZFjjGgGUA6NLw09EwE0CqkOc4q9oUmW1yo/edit?usp=sharing"",""นครสวรรค์!L432"")"),34340)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IFERROR(__xludf.DUMMYFUNCTION("IMPORTRANGE(""https://docs.google.com/spreadsheets/d/11923uPwbBZFjjGgGUA6NLw09EwE0CqkOc4q9oUmW1yo/edit?usp=sharing"",""นครสวรรค์!M432"")"),19715)</f>
        <v>19715</v>
      </c>
      <c r="O537" s="168">
        <f t="shared" ca="1" si="118"/>
        <v>57.411182294700055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IFERROR(__xludf.DUMMYFUNCTION("IMPORTRANGE(""https://docs.google.com/spreadsheets/d/11923uPwbBZFjjGgGUA6NLw09EwE0CqkOc4q9oUmW1yo/edit?usp=sharing"",""นครสวรรค์!M433"")"),18740)</f>
        <v>18740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IFERROR(__xludf.DUMMYFUNCTION("IMPORTRANGE(""https://docs.google.com/spreadsheets/d/11923uPwbBZFjjGgGUA6NLw09EwE0CqkOc4q9oUmW1yo/edit?usp=sharing"",""นครสวรรค์!M434"")"),0)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IFERROR(__xludf.DUMMYFUNCTION("IMPORTRANGE(""https://docs.google.com/spreadsheets/d/11923uPwbBZFjjGgGUA6NLw09EwE0CqkOc4q9oUmW1yo/edit?usp=sharing"",""นครสวรรค์!M435"")"),0)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IFERROR(__xludf.DUMMYFUNCTION("IMPORTRANGE(""https://docs.google.com/spreadsheets/d/11923uPwbBZFjjGgGUA6NLw09EwE0CqkOc4q9oUmW1yo/edit?usp=sharing"",""นครสวรรค์!M436"")"),975)</f>
        <v>975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IFERROR(__xludf.DUMMYFUNCTION("IMPORTRANGE(""https://docs.google.com/spreadsheets/d/11923uPwbBZFjjGgGUA6NLw09EwE0CqkOc4q9oUmW1yo/edit?usp=sharing"",""นครสวรรค์!J438"")"),0)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IFERROR(__xludf.DUMMYFUNCTION("IMPORTRANGE(""https://docs.google.com/spreadsheets/d/11923uPwbBZFjjGgGUA6NLw09EwE0CqkOc4q9oUmW1yo/edit?usp=sharing"",""นครสวรรค์!J439"")"),1)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IFERROR(__xludf.DUMMYFUNCTION("IMPORTRANGE(""https://docs.google.com/spreadsheets/d/11923uPwbBZFjjGgGUA6NLw09EwE0CqkOc4q9oUmW1yo/edit?usp=sharing"",""นครสวรรค์!J440"")"),1)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IFERROR(__xludf.DUMMYFUNCTION("IMPORTRANGE(""https://docs.google.com/spreadsheets/d/11923uPwbBZFjjGgGUA6NLw09EwE0CqkOc4q9oUmW1yo/edit?usp=sharing"",""นครสวรรค์!J441"")"),1)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IFERROR(__xludf.DUMMYFUNCTION("IMPORTRANGE(""https://docs.google.com/spreadsheets/d/11923uPwbBZFjjGgGUA6NLw09EwE0CqkOc4q9oUmW1yo/edit?usp=sharing"",""นครสวรรค์!I442"")"),22)</f>
        <v>22</v>
      </c>
      <c r="J547" s="188">
        <f ca="1">IFERROR(__xludf.DUMMYFUNCTION("IMPORTRANGE(""https://docs.google.com/spreadsheets/d/11923uPwbBZFjjGgGUA6NLw09EwE0CqkOc4q9oUmW1yo/edit?usp=sharing"",""นครสวรรค์!J442"")"),22)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IFERROR(__xludf.DUMMYFUNCTION("IMPORTRANGE(""https://docs.google.com/spreadsheets/d/11923uPwbBZFjjGgGUA6NLw09EwE0CqkOc4q9oUmW1yo/edit?usp=sharing"",""นครสวรรค์!J166"")"),0)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IFERROR(__xludf.DUMMYFUNCTION("IMPORTRANGE(""https://docs.google.com/spreadsheets/d/11923uPwbBZFjjGgGUA6NLw09EwE0CqkOc4q9oUmW1yo/edit?usp=sharing"",""นครสวรรค์!J444"")"),0)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IFERROR(__xludf.DUMMYFUNCTION("IMPORTRANGE(""https://docs.google.com/spreadsheets/d/11923uPwbBZFjjGgGUA6NLw09EwE0CqkOc4q9oUmW1yo/edit?usp=sharing"",""นครสวรรค์!J445"")"),0)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IFERROR(__xludf.DUMMYFUNCTION("IMPORTRANGE(""https://docs.google.com/spreadsheets/d/11923uPwbBZFjjGgGUA6NLw09EwE0CqkOc4q9oUmW1yo/edit?usp=sharing"",""นครสวรรค์!I446"")"),0)</f>
        <v>0</v>
      </c>
      <c r="J551" s="408">
        <f ca="1">IFERROR(__xludf.DUMMYFUNCTION("IMPORTRANGE(""https://docs.google.com/spreadsheets/d/11923uPwbBZFjjGgGUA6NLw09EwE0CqkOc4q9oUmW1yo/edit?usp=sharing"",""นครสวรรค์!J446"")"),0)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IFERROR(__xludf.DUMMYFUNCTION("IMPORTRANGE(""https://docs.google.com/spreadsheets/d/11923uPwbBZFjjGgGUA6NLw09EwE0CqkOc4q9oUmW1yo/edit?usp=sharing"",""นครสวรรค์!L446"")"),0)</f>
        <v>0</v>
      </c>
      <c r="M551" s="410"/>
      <c r="N551" s="410">
        <f ca="1">IFERROR(__xludf.DUMMYFUNCTION("IMPORTRANGE(""https://docs.google.com/spreadsheets/d/11923uPwbBZFjjGgGUA6NLw09EwE0CqkOc4q9oUmW1yo/edit?usp=sharing"",""นครสวรรค์!M446"")"),0)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IFERROR(__xludf.DUMMYFUNCTION("IMPORTRANGE(""https://docs.google.com/spreadsheets/d/11923uPwbBZFjjGgGUA6NLw09EwE0CqkOc4q9oUmW1yo/edit?usp=sharing"",""นครสวรรค์!L447"")"),0)</f>
        <v>0</v>
      </c>
      <c r="M552" s="164"/>
      <c r="N552" s="168">
        <f ca="1">IFERROR(__xludf.DUMMYFUNCTION("IMPORTRANGE(""https://docs.google.com/spreadsheets/d/11923uPwbBZFjjGgGUA6NLw09EwE0CqkOc4q9oUmW1yo/edit?usp=sharing"",""นครสวรรค์!M447"")"),0)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IFERROR(__xludf.DUMMYFUNCTION("IMPORTRANGE(""https://docs.google.com/spreadsheets/d/11923uPwbBZFjjGgGUA6NLw09EwE0CqkOc4q9oUmW1yo/edit?usp=sharing"",""นครสวรรค์!L448"")"),0)</f>
        <v>0</v>
      </c>
      <c r="M553" s="165"/>
      <c r="N553" s="168">
        <f ca="1">IFERROR(__xludf.DUMMYFUNCTION("IMPORTRANGE(""https://docs.google.com/spreadsheets/d/11923uPwbBZFjjGgGUA6NLw09EwE0CqkOc4q9oUmW1yo/edit?usp=sharing"",""นครสวรรค์!M448"")"),0)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IFERROR(__xludf.DUMMYFUNCTION("IMPORTRANGE(""https://docs.google.com/spreadsheets/d/11923uPwbBZFjjGgGUA6NLw09EwE0CqkOc4q9oUmW1yo/edit?usp=sharing"",""นครสวรรค์!L449"")"),0)</f>
        <v>0</v>
      </c>
      <c r="M554" s="168"/>
      <c r="N554" s="168">
        <f ca="1">IFERROR(__xludf.DUMMYFUNCTION("IMPORTRANGE(""https://docs.google.com/spreadsheets/d/11923uPwbBZFjjGgGUA6NLw09EwE0CqkOc4q9oUmW1yo/edit?usp=sharing"",""นครสวรรค์!M449"")"),0)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IFERROR(__xludf.DUMMYFUNCTION("IMPORTRANGE(""https://docs.google.com/spreadsheets/d/11923uPwbBZFjjGgGUA6NLw09EwE0CqkOc4q9oUmW1yo/edit?usp=sharing"",""นครสวรรค์!L450"")"),0)</f>
        <v>0</v>
      </c>
      <c r="M555" s="168"/>
      <c r="N555" s="168">
        <f ca="1">IFERROR(__xludf.DUMMYFUNCTION("IMPORTRANGE(""https://docs.google.com/spreadsheets/d/11923uPwbBZFjjGgGUA6NLw09EwE0CqkOc4q9oUmW1yo/edit?usp=sharing"",""นครสวรรค์!M450"")"),0)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IFERROR(__xludf.DUMMYFUNCTION("IMPORTRANGE(""https://docs.google.com/spreadsheets/d/11923uPwbBZFjjGgGUA6NLw09EwE0CqkOc4q9oUmW1yo/edit?usp=sharing"",""นครสวรรค์!M451"")"),0)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IFERROR(__xludf.DUMMYFUNCTION("IMPORTRANGE(""https://docs.google.com/spreadsheets/d/11923uPwbBZFjjGgGUA6NLw09EwE0CqkOc4q9oUmW1yo/edit?usp=sharing"",""นครสวรรค์!M452"")"),0)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IFERROR(__xludf.DUMMYFUNCTION("IMPORTRANGE(""https://docs.google.com/spreadsheets/d/11923uPwbBZFjjGgGUA6NLw09EwE0CqkOc4q9oUmW1yo/edit?usp=sharing"",""นครสวรรค์!M453"")"),0)</f>
        <v>0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IFERROR(__xludf.DUMMYFUNCTION("IMPORTRANGE(""https://docs.google.com/spreadsheets/d/11923uPwbBZFjjGgGUA6NLw09EwE0CqkOc4q9oUmW1yo/edit?usp=sharing"",""นครสวรรค์!M454"")"),0)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IFERROR(__xludf.DUMMYFUNCTION("IMPORTRANGE(""https://docs.google.com/spreadsheets/d/11923uPwbBZFjjGgGUA6NLw09EwE0CqkOc4q9oUmW1yo/edit?usp=sharing"",""นครสวรรค์!I455"")"),0)</f>
        <v>0</v>
      </c>
      <c r="J560" s="162">
        <f ca="1">IFERROR(__xludf.DUMMYFUNCTION("IMPORTRANGE(""https://docs.google.com/spreadsheets/d/11923uPwbBZFjjGgGUA6NLw09EwE0CqkOc4q9oUmW1yo/edit?usp=sharing"",""นครสวรรค์!J455"")"),0)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IFERROR(__xludf.DUMMYFUNCTION("IMPORTRANGE(""https://docs.google.com/spreadsheets/d/11923uPwbBZFjjGgGUA6NLw09EwE0CqkOc4q9oUmW1yo/edit?usp=sharing"",""นครสวรรค์!I456"")"),0)</f>
        <v>0</v>
      </c>
      <c r="J561" s="203">
        <f ca="1">IFERROR(__xludf.DUMMYFUNCTION("IMPORTRANGE(""https://docs.google.com/spreadsheets/d/11923uPwbBZFjjGgGUA6NLw09EwE0CqkOc4q9oUmW1yo/edit?usp=sharing"",""นครสวรรค์!J456"")"),0)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f ca="1">IFERROR(__xludf.DUMMYFUNCTION("IMPORTRANGE(""https://docs.google.com/spreadsheets/d/11923uPwbBZFjjGgGUA6NLw09EwE0CqkOc4q9oUmW1yo/edit?usp=sharing"",""นครสวรรค์!I457"")"),0)</f>
        <v>0</v>
      </c>
      <c r="J562" s="203" t="str">
        <f ca="1">IFERROR(__xludf.DUMMYFUNCTION("IMPORTRANGE(""https://docs.google.com/spreadsheets/d/11923uPwbBZFjjGgGUA6NLw09EwE0CqkOc4q9oUmW1yo/edit?usp=sharing"",""นครสวรรค์!J457"")"),"")</f>
        <v/>
      </c>
      <c r="K562" s="163">
        <f t="shared" ca="1" si="121"/>
        <v>0</v>
      </c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f ca="1">IFERROR(__xludf.DUMMYFUNCTION("IMPORTRANGE(""https://docs.google.com/spreadsheets/d/11923uPwbBZFjjGgGUA6NLw09EwE0CqkOc4q9oUmW1yo/edit?usp=sharing"",""นครสวรรค์!I458"")"),0)</f>
        <v>0</v>
      </c>
      <c r="J563" s="187" t="str">
        <f ca="1">IFERROR(__xludf.DUMMYFUNCTION("IMPORTRANGE(""https://docs.google.com/spreadsheets/d/11923uPwbBZFjjGgGUA6NLw09EwE0CqkOc4q9oUmW1yo/edit?usp=sharing"",""นครสวรรค์!J458"")"),"")</f>
        <v/>
      </c>
      <c r="K563" s="163">
        <f t="shared" ca="1" si="121"/>
        <v>0</v>
      </c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IFERROR(__xludf.DUMMYFUNCTION("IMPORTRANGE(""https://docs.google.com/spreadsheets/d/11923uPwbBZFjjGgGUA6NLw09EwE0CqkOc4q9oUmW1yo/edit?usp=sharing"",""นครสวรรค์!I459"")"),2750)</f>
        <v>2750</v>
      </c>
      <c r="J564" s="369">
        <f ca="1">IFERROR(__xludf.DUMMYFUNCTION("IMPORTRANGE(""https://docs.google.com/spreadsheets/d/11923uPwbBZFjjGgGUA6NLw09EwE0CqkOc4q9oUmW1yo/edit?usp=sharing"",""นครสวรรค์!J459"")"),1262)</f>
        <v>1262</v>
      </c>
      <c r="K564" s="370">
        <f t="shared" ca="1" si="121"/>
        <v>45.890909090909091</v>
      </c>
      <c r="L564" s="371">
        <f ca="1">IFERROR(__xludf.DUMMYFUNCTION("IMPORTRANGE(""https://docs.google.com/spreadsheets/d/11923uPwbBZFjjGgGUA6NLw09EwE0CqkOc4q9oUmW1yo/edit?usp=sharing"",""นครสวรรค์!L459"")"),140160)</f>
        <v>140160</v>
      </c>
      <c r="M564" s="371"/>
      <c r="N564" s="371">
        <f ca="1">IFERROR(__xludf.DUMMYFUNCTION("IMPORTRANGE(""https://docs.google.com/spreadsheets/d/11923uPwbBZFjjGgGUA6NLw09EwE0CqkOc4q9oUmW1yo/edit?usp=sharing"",""นครสวรรค์!M459"")"),63448)</f>
        <v>63448</v>
      </c>
      <c r="O564" s="371">
        <f t="shared" ref="O564:O568" ca="1" si="122">+IF(L564&gt;0,N564*100/L564,0)</f>
        <v>45.268264840182646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IFERROR(__xludf.DUMMYFUNCTION("IMPORTRANGE(""https://docs.google.com/spreadsheets/d/11923uPwbBZFjjGgGUA6NLw09EwE0CqkOc4q9oUmW1yo/edit?usp=sharing"",""นครสวรรค์!L460"")"),0)</f>
        <v>0</v>
      </c>
      <c r="M565" s="164"/>
      <c r="N565" s="168">
        <f ca="1">IFERROR(__xludf.DUMMYFUNCTION("IMPORTRANGE(""https://docs.google.com/spreadsheets/d/11923uPwbBZFjjGgGUA6NLw09EwE0CqkOc4q9oUmW1yo/edit?usp=sharing"",""นครสวรรค์!M460"")"),0)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IFERROR(__xludf.DUMMYFUNCTION("IMPORTRANGE(""https://docs.google.com/spreadsheets/d/11923uPwbBZFjjGgGUA6NLw09EwE0CqkOc4q9oUmW1yo/edit?usp=sharing"",""นครสวรรค์!L461"")"),140160)</f>
        <v>140160</v>
      </c>
      <c r="M566" s="165"/>
      <c r="N566" s="168">
        <f ca="1">IFERROR(__xludf.DUMMYFUNCTION("IMPORTRANGE(""https://docs.google.com/spreadsheets/d/11923uPwbBZFjjGgGUA6NLw09EwE0CqkOc4q9oUmW1yo/edit?usp=sharing"",""นครสวรรค์!M461"")"),63448)</f>
        <v>63448</v>
      </c>
      <c r="O566" s="168">
        <f t="shared" ca="1" si="122"/>
        <v>45.268264840182646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IFERROR(__xludf.DUMMYFUNCTION("IMPORTRANGE(""https://docs.google.com/spreadsheets/d/11923uPwbBZFjjGgGUA6NLw09EwE0CqkOc4q9oUmW1yo/edit?usp=sharing"",""นครสวรรค์!L462"")"),0)</f>
        <v>0</v>
      </c>
      <c r="M567" s="168"/>
      <c r="N567" s="168">
        <f ca="1">IFERROR(__xludf.DUMMYFUNCTION("IMPORTRANGE(""https://docs.google.com/spreadsheets/d/11923uPwbBZFjjGgGUA6NLw09EwE0CqkOc4q9oUmW1yo/edit?usp=sharing"",""นครสวรรค์!M462"")"),0)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IFERROR(__xludf.DUMMYFUNCTION("IMPORTRANGE(""https://docs.google.com/spreadsheets/d/11923uPwbBZFjjGgGUA6NLw09EwE0CqkOc4q9oUmW1yo/edit?usp=sharing"",""นครสวรรค์!L463"")"),140160)</f>
        <v>140160</v>
      </c>
      <c r="M568" s="168"/>
      <c r="N568" s="168">
        <f ca="1">IFERROR(__xludf.DUMMYFUNCTION("IMPORTRANGE(""https://docs.google.com/spreadsheets/d/11923uPwbBZFjjGgGUA6NLw09EwE0CqkOc4q9oUmW1yo/edit?usp=sharing"",""นครสวรรค์!M463"")"),63448)</f>
        <v>63448</v>
      </c>
      <c r="O568" s="168">
        <f t="shared" ca="1" si="122"/>
        <v>45.268264840182646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IFERROR(__xludf.DUMMYFUNCTION("IMPORTRANGE(""https://docs.google.com/spreadsheets/d/11923uPwbBZFjjGgGUA6NLw09EwE0CqkOc4q9oUmW1yo/edit?usp=sharing"",""นครสวรรค์!M464"")"),0)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IFERROR(__xludf.DUMMYFUNCTION("IMPORTRANGE(""https://docs.google.com/spreadsheets/d/11923uPwbBZFjjGgGUA6NLw09EwE0CqkOc4q9oUmW1yo/edit?usp=sharing"",""นครสวรรค์!M465"")"),0)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IFERROR(__xludf.DUMMYFUNCTION("IMPORTRANGE(""https://docs.google.com/spreadsheets/d/11923uPwbBZFjjGgGUA6NLw09EwE0CqkOc4q9oUmW1yo/edit?usp=sharing"",""นครสวรรค์!M466"")"),42899)</f>
        <v>42899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IFERROR(__xludf.DUMMYFUNCTION("IMPORTRANGE(""https://docs.google.com/spreadsheets/d/11923uPwbBZFjjGgGUA6NLw09EwE0CqkOc4q9oUmW1yo/edit?usp=sharing"",""นครสวรรค์!M467"")"),20549)</f>
        <v>20549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IFERROR(__xludf.DUMMYFUNCTION("IMPORTRANGE(""https://docs.google.com/spreadsheets/d/11923uPwbBZFjjGgGUA6NLw09EwE0CqkOc4q9oUmW1yo/edit?usp=sharing"",""นครสวรรค์!I468"")"),2750)</f>
        <v>2750</v>
      </c>
      <c r="J573" s="418">
        <f ca="1">IFERROR(__xludf.DUMMYFUNCTION("IMPORTRANGE(""https://docs.google.com/spreadsheets/d/11923uPwbBZFjjGgGUA6NLw09EwE0CqkOc4q9oUmW1yo/edit?usp=sharing"",""นครสวรรค์!J468"")"),1262)</f>
        <v>1262</v>
      </c>
      <c r="K573" s="201">
        <f ca="1">IF(I573&gt;0,J573*100/I573,0)</f>
        <v>45.890909090909091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IFERROR(__xludf.DUMMYFUNCTION("IMPORTRANGE(""https://docs.google.com/spreadsheets/d/11923uPwbBZFjjGgGUA6NLw09EwE0CqkOc4q9oUmW1yo/edit?usp=sharing"",""นครสวรรค์!I470"")"),7)</f>
        <v>7</v>
      </c>
      <c r="J575" s="197">
        <f ca="1">IFERROR(__xludf.DUMMYFUNCTION("IMPORTRANGE(""https://docs.google.com/spreadsheets/d/11923uPwbBZFjjGgGUA6NLw09EwE0CqkOc4q9oUmW1yo/edit?usp=sharing"",""นครสวรรค์!J470"")"),6)</f>
        <v>6</v>
      </c>
      <c r="K575" s="163">
        <f t="shared" ref="K575:K579" ca="1" si="123">IF(I575&gt;0,J575*100/I575,0)</f>
        <v>85.714285714285708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IFERROR(__xludf.DUMMYFUNCTION("IMPORTRANGE(""https://docs.google.com/spreadsheets/d/11923uPwbBZFjjGgGUA6NLw09EwE0CqkOc4q9oUmW1yo/edit?usp=sharing"",""นครสวรรค์!I471"")"),0)</f>
        <v>0</v>
      </c>
      <c r="J576" s="197">
        <f ca="1">IFERROR(__xludf.DUMMYFUNCTION("IMPORTRANGE(""https://docs.google.com/spreadsheets/d/11923uPwbBZFjjGgGUA6NLw09EwE0CqkOc4q9oUmW1yo/edit?usp=sharing"",""นครสวรรค์!J471"")"),265)</f>
        <v>265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IFERROR(__xludf.DUMMYFUNCTION("IMPORTRANGE(""https://docs.google.com/spreadsheets/d/11923uPwbBZFjjGgGUA6NLw09EwE0CqkOc4q9oUmW1yo/edit?usp=sharing"",""นครสวรรค์!I472"")"),0)</f>
        <v>0</v>
      </c>
      <c r="J577" s="188">
        <f ca="1">IFERROR(__xludf.DUMMYFUNCTION("IMPORTRANGE(""https://docs.google.com/spreadsheets/d/11923uPwbBZFjjGgGUA6NLw09EwE0CqkOc4q9oUmW1yo/edit?usp=sharing"",""นครสวรรค์!J472"")"),989)</f>
        <v>989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IFERROR(__xludf.DUMMYFUNCTION("IMPORTRANGE(""https://docs.google.com/spreadsheets/d/11923uPwbBZFjjGgGUA6NLw09EwE0CqkOc4q9oUmW1yo/edit?usp=sharing"",""นครสวรรค์!I473"")"),0)</f>
        <v>0</v>
      </c>
      <c r="J578" s="197">
        <f ca="1">IFERROR(__xludf.DUMMYFUNCTION("IMPORTRANGE(""https://docs.google.com/spreadsheets/d/11923uPwbBZFjjGgGUA6NLw09EwE0CqkOc4q9oUmW1yo/edit?usp=sharing"",""นครสวรรค์!J473"")"),8)</f>
        <v>8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IFERROR(__xludf.DUMMYFUNCTION("IMPORTRANGE(""https://docs.google.com/spreadsheets/d/11923uPwbBZFjjGgGUA6NLw09EwE0CqkOc4q9oUmW1yo/edit?usp=sharing"",""นครสวรรค์!I474"")"),0)</f>
        <v>0</v>
      </c>
      <c r="J579" s="197">
        <f ca="1">IFERROR(__xludf.DUMMYFUNCTION("IMPORTRANGE(""https://docs.google.com/spreadsheets/d/11923uPwbBZFjjGgGUA6NLw09EwE0CqkOc4q9oUmW1yo/edit?usp=sharing"",""นครสวรรค์!J474"")"),0)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IFERROR(__xludf.DUMMYFUNCTION("IMPORTRANGE(""https://docs.google.com/spreadsheets/d/11923uPwbBZFjjGgGUA6NLw09EwE0CqkOc4q9oUmW1yo/edit?usp=sharing"",""นครสวรรค์!I475"")"),0)</f>
        <v>0</v>
      </c>
      <c r="J580" s="369">
        <f ca="1">IFERROR(__xludf.DUMMYFUNCTION("IMPORTRANGE(""https://docs.google.com/spreadsheets/d/11923uPwbBZFjjGgGUA6NLw09EwE0CqkOc4q9oUmW1yo/edit?usp=sharing"",""นครสวรรค์!J475"")"),0)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IFERROR(__xludf.DUMMYFUNCTION("IMPORTRANGE(""https://docs.google.com/spreadsheets/d/11923uPwbBZFjjGgGUA6NLw09EwE0CqkOc4q9oUmW1yo/edit?usp=sharing"",""นครสวรรค์!L475"")"),0)</f>
        <v>0</v>
      </c>
      <c r="M580" s="371"/>
      <c r="N580" s="371">
        <f ca="1">IFERROR(__xludf.DUMMYFUNCTION("IMPORTRANGE(""https://docs.google.com/spreadsheets/d/11923uPwbBZFjjGgGUA6NLw09EwE0CqkOc4q9oUmW1yo/edit?usp=sharing"",""นครสวรรค์!M475"")"),0)</f>
        <v>0</v>
      </c>
      <c r="O580" s="371">
        <f t="shared" ref="O580:O584" ca="1" si="124">+IF(L580&gt;0,N580*100/L580,0)</f>
        <v>0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IFERROR(__xludf.DUMMYFUNCTION("IMPORTRANGE(""https://docs.google.com/spreadsheets/d/11923uPwbBZFjjGgGUA6NLw09EwE0CqkOc4q9oUmW1yo/edit?usp=sharing"",""นครสวรรค์!L476"")"),0)</f>
        <v>0</v>
      </c>
      <c r="M581" s="164"/>
      <c r="N581" s="168">
        <f ca="1">IFERROR(__xludf.DUMMYFUNCTION("IMPORTRANGE(""https://docs.google.com/spreadsheets/d/11923uPwbBZFjjGgGUA6NLw09EwE0CqkOc4q9oUmW1yo/edit?usp=sharing"",""นครสวรรค์!M476"")"),0)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IFERROR(__xludf.DUMMYFUNCTION("IMPORTRANGE(""https://docs.google.com/spreadsheets/d/11923uPwbBZFjjGgGUA6NLw09EwE0CqkOc4q9oUmW1yo/edit?usp=sharing"",""นครสวรรค์!L477"")"),0)</f>
        <v>0</v>
      </c>
      <c r="M582" s="165"/>
      <c r="N582" s="168">
        <f ca="1">IFERROR(__xludf.DUMMYFUNCTION("IMPORTRANGE(""https://docs.google.com/spreadsheets/d/11923uPwbBZFjjGgGUA6NLw09EwE0CqkOc4q9oUmW1yo/edit?usp=sharing"",""นครสวรรค์!M477"")"),0)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IFERROR(__xludf.DUMMYFUNCTION("IMPORTRANGE(""https://docs.google.com/spreadsheets/d/11923uPwbBZFjjGgGUA6NLw09EwE0CqkOc4q9oUmW1yo/edit?usp=sharing"",""นครสวรรค์!L478"")"),0)</f>
        <v>0</v>
      </c>
      <c r="M583" s="168"/>
      <c r="N583" s="168">
        <f ca="1">IFERROR(__xludf.DUMMYFUNCTION("IMPORTRANGE(""https://docs.google.com/spreadsheets/d/11923uPwbBZFjjGgGUA6NLw09EwE0CqkOc4q9oUmW1yo/edit?usp=sharing"",""นครสวรรค์!M478"")"),0)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IFERROR(__xludf.DUMMYFUNCTION("IMPORTRANGE(""https://docs.google.com/spreadsheets/d/11923uPwbBZFjjGgGUA6NLw09EwE0CqkOc4q9oUmW1yo/edit?usp=sharing"",""นครสวรรค์!L479"")"),0)</f>
        <v>0</v>
      </c>
      <c r="M584" s="168"/>
      <c r="N584" s="168">
        <f ca="1">IFERROR(__xludf.DUMMYFUNCTION("IMPORTRANGE(""https://docs.google.com/spreadsheets/d/11923uPwbBZFjjGgGUA6NLw09EwE0CqkOc4q9oUmW1yo/edit?usp=sharing"",""นครสวรรค์!M479"")"),0)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IFERROR(__xludf.DUMMYFUNCTION("IMPORTRANGE(""https://docs.google.com/spreadsheets/d/11923uPwbBZFjjGgGUA6NLw09EwE0CqkOc4q9oUmW1yo/edit?usp=sharing"",""นครสวรรค์!M480"")"),0)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IFERROR(__xludf.DUMMYFUNCTION("IMPORTRANGE(""https://docs.google.com/spreadsheets/d/11923uPwbBZFjjGgGUA6NLw09EwE0CqkOc4q9oUmW1yo/edit?usp=sharing"",""นครสวรรค์!M481"")"),0)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IFERROR(__xludf.DUMMYFUNCTION("IMPORTRANGE(""https://docs.google.com/spreadsheets/d/11923uPwbBZFjjGgGUA6NLw09EwE0CqkOc4q9oUmW1yo/edit?usp=sharing"",""นครสวรรค์!M482"")"),0)</f>
        <v>0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IFERROR(__xludf.DUMMYFUNCTION("IMPORTRANGE(""https://docs.google.com/spreadsheets/d/11923uPwbBZFjjGgGUA6NLw09EwE0CqkOc4q9oUmW1yo/edit?usp=sharing"",""นครสวรรค์!M483"")"),0)</f>
        <v>0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IFERROR(__xludf.DUMMYFUNCTION("IMPORTRANGE(""https://docs.google.com/spreadsheets/d/11923uPwbBZFjjGgGUA6NLw09EwE0CqkOc4q9oUmW1yo/edit?usp=sharing"",""นครสวรรค์!I484"")"),0)</f>
        <v>0</v>
      </c>
      <c r="J589" s="187">
        <f ca="1">IFERROR(__xludf.DUMMYFUNCTION("IMPORTRANGE(""https://docs.google.com/spreadsheets/d/11923uPwbBZFjjGgGUA6NLw09EwE0CqkOc4q9oUmW1yo/edit?usp=sharing"",""นครสวรรค์!J484"")"),0)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IFERROR(__xludf.DUMMYFUNCTION("IMPORTRANGE(""https://docs.google.com/spreadsheets/d/11923uPwbBZFjjGgGUA6NLw09EwE0CqkOc4q9oUmW1yo/edit?usp=sharing"",""นครสวรรค์!I485"")"),0)</f>
        <v>0</v>
      </c>
      <c r="J590" s="187">
        <f ca="1">IFERROR(__xludf.DUMMYFUNCTION("IMPORTRANGE(""https://docs.google.com/spreadsheets/d/11923uPwbBZFjjGgGUA6NLw09EwE0CqkOc4q9oUmW1yo/edit?usp=sharing"",""นครสวรรค์!J485"")"),0)</f>
        <v>0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IFERROR(__xludf.DUMMYFUNCTION("IMPORTRANGE(""https://docs.google.com/spreadsheets/d/11923uPwbBZFjjGgGUA6NLw09EwE0CqkOc4q9oUmW1yo/edit?usp=sharing"",""นครสวรรค์!I486"")"),0)</f>
        <v>0</v>
      </c>
      <c r="J591" s="187">
        <f ca="1">IFERROR(__xludf.DUMMYFUNCTION("IMPORTRANGE(""https://docs.google.com/spreadsheets/d/11923uPwbBZFjjGgGUA6NLw09EwE0CqkOc4q9oUmW1yo/edit?usp=sharing"",""นครสวรรค์!J486"")"),0)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IFERROR(__xludf.DUMMYFUNCTION("IMPORTRANGE(""https://docs.google.com/spreadsheets/d/11923uPwbBZFjjGgGUA6NLw09EwE0CqkOc4q9oUmW1yo/edit?usp=sharing"",""นครสวรรค์!I487"")"),0)</f>
        <v>0</v>
      </c>
      <c r="J592" s="187">
        <f ca="1">IFERROR(__xludf.DUMMYFUNCTION("IMPORTRANGE(""https://docs.google.com/spreadsheets/d/11923uPwbBZFjjGgGUA6NLw09EwE0CqkOc4q9oUmW1yo/edit?usp=sharing"",""นครสวรรค์!J487"")"),0)</f>
        <v>0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IFERROR(__xludf.DUMMYFUNCTION("IMPORTRANGE(""https://docs.google.com/spreadsheets/d/11923uPwbBZFjjGgGUA6NLw09EwE0CqkOc4q9oUmW1yo/edit?usp=sharing"",""นครสวรรค์!I488"")"),0)</f>
        <v>0</v>
      </c>
      <c r="J593" s="187">
        <f ca="1">IFERROR(__xludf.DUMMYFUNCTION("IMPORTRANGE(""https://docs.google.com/spreadsheets/d/11923uPwbBZFjjGgGUA6NLw09EwE0CqkOc4q9oUmW1yo/edit?usp=sharing"",""นครสวรรค์!J488"")"),0)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IFERROR(__xludf.DUMMYFUNCTION("IMPORTRANGE(""https://docs.google.com/spreadsheets/d/11923uPwbBZFjjGgGUA6NLw09EwE0CqkOc4q9oUmW1yo/edit?usp=sharing"",""นครสวรรค์!I489"")"),0)</f>
        <v>0</v>
      </c>
      <c r="J594" s="187">
        <f ca="1">IFERROR(__xludf.DUMMYFUNCTION("IMPORTRANGE(""https://docs.google.com/spreadsheets/d/11923uPwbBZFjjGgGUA6NLw09EwE0CqkOc4q9oUmW1yo/edit?usp=sharing"",""นครสวรรค์!J489"")"),0)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IFERROR(__xludf.DUMMYFUNCTION("IMPORTRANGE(""https://docs.google.com/spreadsheets/d/11923uPwbBZFjjGgGUA6NLw09EwE0CqkOc4q9oUmW1yo/edit?usp=sharing"",""นครสวรรค์!I490"")"),0)</f>
        <v>0</v>
      </c>
      <c r="J595" s="187">
        <f ca="1">IFERROR(__xludf.DUMMYFUNCTION("IMPORTRANGE(""https://docs.google.com/spreadsheets/d/11923uPwbBZFjjGgGUA6NLw09EwE0CqkOc4q9oUmW1yo/edit?usp=sharing"",""นครสวรรค์!J490"")"),0)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IFERROR(__xludf.DUMMYFUNCTION("IMPORTRANGE(""https://docs.google.com/spreadsheets/d/11923uPwbBZFjjGgGUA6NLw09EwE0CqkOc4q9oUmW1yo/edit?usp=sharing"",""นครสวรรค์!I491"")"),0)</f>
        <v>0</v>
      </c>
      <c r="J596" s="240">
        <f ca="1">IFERROR(__xludf.DUMMYFUNCTION("IMPORTRANGE(""https://docs.google.com/spreadsheets/d/11923uPwbBZFjjGgGUA6NLw09EwE0CqkOc4q9oUmW1yo/edit?usp=sharing"",""นครสวรรค์!J491"")"),0)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IFERROR(__xludf.DUMMYFUNCTION("IMPORTRANGE(""https://docs.google.com/spreadsheets/d/11923uPwbBZFjjGgGUA6NLw09EwE0CqkOc4q9oUmW1yo/edit?usp=sharing"",""นครสวรรค์!I492"")"),50)</f>
        <v>50</v>
      </c>
      <c r="J597" s="485">
        <f ca="1">IFERROR(__xludf.DUMMYFUNCTION("IMPORTRANGE(""https://docs.google.com/spreadsheets/d/11923uPwbBZFjjGgGUA6NLw09EwE0CqkOc4q9oUmW1yo/edit?usp=sharing"",""นครสวรรค์!J492"")"),0)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IFERROR(__xludf.DUMMYFUNCTION("IMPORTRANGE(""https://docs.google.com/spreadsheets/d/11923uPwbBZFjjGgGUA6NLw09EwE0CqkOc4q9oUmW1yo/edit?usp=sharing"",""นครสวรรค์!L492"")"),5350)</f>
        <v>5350</v>
      </c>
      <c r="M597" s="410"/>
      <c r="N597" s="410">
        <f ca="1">IFERROR(__xludf.DUMMYFUNCTION("IMPORTRANGE(""https://docs.google.com/spreadsheets/d/11923uPwbBZFjjGgGUA6NLw09EwE0CqkOc4q9oUmW1yo/edit?usp=sharing"",""นครสวรรค์!M492"")"),800)</f>
        <v>800</v>
      </c>
      <c r="O597" s="410">
        <f t="shared" ref="O597:O601" ca="1" si="126">+IF(L597&gt;0,N597*100/L597,0)</f>
        <v>14.953271028037383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IFERROR(__xludf.DUMMYFUNCTION("IMPORTRANGE(""https://docs.google.com/spreadsheets/d/11923uPwbBZFjjGgGUA6NLw09EwE0CqkOc4q9oUmW1yo/edit?usp=sharing"",""นครสวรรค์!L493"")"),0)</f>
        <v>0</v>
      </c>
      <c r="M598" s="164"/>
      <c r="N598" s="168">
        <f ca="1">IFERROR(__xludf.DUMMYFUNCTION("IMPORTRANGE(""https://docs.google.com/spreadsheets/d/11923uPwbBZFjjGgGUA6NLw09EwE0CqkOc4q9oUmW1yo/edit?usp=sharing"",""นครสวรรค์!M493"")"),0)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IFERROR(__xludf.DUMMYFUNCTION("IMPORTRANGE(""https://docs.google.com/spreadsheets/d/11923uPwbBZFjjGgGUA6NLw09EwE0CqkOc4q9oUmW1yo/edit?usp=sharing"",""นครสวรรค์!L494"")"),5350)</f>
        <v>5350</v>
      </c>
      <c r="M599" s="165"/>
      <c r="N599" s="168">
        <f ca="1">IFERROR(__xludf.DUMMYFUNCTION("IMPORTRANGE(""https://docs.google.com/spreadsheets/d/11923uPwbBZFjjGgGUA6NLw09EwE0CqkOc4q9oUmW1yo/edit?usp=sharing"",""นครสวรรค์!M494"")"),800)</f>
        <v>800</v>
      </c>
      <c r="O599" s="168">
        <f t="shared" ca="1" si="126"/>
        <v>14.953271028037383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IFERROR(__xludf.DUMMYFUNCTION("IMPORTRANGE(""https://docs.google.com/spreadsheets/d/11923uPwbBZFjjGgGUA6NLw09EwE0CqkOc4q9oUmW1yo/edit?usp=sharing"",""นครสวรรค์!L495"")"),0)</f>
        <v>0</v>
      </c>
      <c r="M600" s="168"/>
      <c r="N600" s="168">
        <f ca="1">IFERROR(__xludf.DUMMYFUNCTION("IMPORTRANGE(""https://docs.google.com/spreadsheets/d/11923uPwbBZFjjGgGUA6NLw09EwE0CqkOc4q9oUmW1yo/edit?usp=sharing"",""นครสวรรค์!M495"")"),0)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IFERROR(__xludf.DUMMYFUNCTION("IMPORTRANGE(""https://docs.google.com/spreadsheets/d/11923uPwbBZFjjGgGUA6NLw09EwE0CqkOc4q9oUmW1yo/edit?usp=sharing"",""นครสวรรค์!L496"")"),5350)</f>
        <v>5350</v>
      </c>
      <c r="M601" s="168"/>
      <c r="N601" s="168">
        <f ca="1">IFERROR(__xludf.DUMMYFUNCTION("IMPORTRANGE(""https://docs.google.com/spreadsheets/d/11923uPwbBZFjjGgGUA6NLw09EwE0CqkOc4q9oUmW1yo/edit?usp=sharing"",""นครสวรรค์!M496"")"),800)</f>
        <v>800</v>
      </c>
      <c r="O601" s="168">
        <f t="shared" ca="1" si="126"/>
        <v>14.953271028037383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IFERROR(__xludf.DUMMYFUNCTION("IMPORTRANGE(""https://docs.google.com/spreadsheets/d/11923uPwbBZFjjGgGUA6NLw09EwE0CqkOc4q9oUmW1yo/edit?usp=sharing"",""นครสวรรค์!M497"")"),0)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IFERROR(__xludf.DUMMYFUNCTION("IMPORTRANGE(""https://docs.google.com/spreadsheets/d/11923uPwbBZFjjGgGUA6NLw09EwE0CqkOc4q9oUmW1yo/edit?usp=sharing"",""นครสวรรค์!M498"")"),0)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IFERROR(__xludf.DUMMYFUNCTION("IMPORTRANGE(""https://docs.google.com/spreadsheets/d/11923uPwbBZFjjGgGUA6NLw09EwE0CqkOc4q9oUmW1yo/edit?usp=sharing"",""นครสวรรค์!M499"")"),0)</f>
        <v>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IFERROR(__xludf.DUMMYFUNCTION("IMPORTRANGE(""https://docs.google.com/spreadsheets/d/11923uPwbBZFjjGgGUA6NLw09EwE0CqkOc4q9oUmW1yo/edit?usp=sharing"",""นครสวรรค์!M500"")"),800)</f>
        <v>800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IFERROR(__xludf.DUMMYFUNCTION("IMPORTRANGE(""https://docs.google.com/spreadsheets/d/11923uPwbBZFjjGgGUA6NLw09EwE0CqkOc4q9oUmW1yo/edit?usp=sharing"",""นครสวรรค์!J502"")"),0)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IFERROR(__xludf.DUMMYFUNCTION("IMPORTRANGE(""https://docs.google.com/spreadsheets/d/11923uPwbBZFjjGgGUA6NLw09EwE0CqkOc4q9oUmW1yo/edit?usp=sharing"",""นครสวรรค์!J503"")"),1)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IFERROR(__xludf.DUMMYFUNCTION("IMPORTRANGE(""https://docs.google.com/spreadsheets/d/11923uPwbBZFjjGgGUA6NLw09EwE0CqkOc4q9oUmW1yo/edit?usp=sharing"",""นครสวรรค์!J166"")"),0)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IFERROR(__xludf.DUMMYFUNCTION("IMPORTRANGE(""https://docs.google.com/spreadsheets/d/11923uPwbBZFjjGgGUA6NLw09EwE0CqkOc4q9oUmW1yo/edit?usp=sharing"",""นครสวรรค์!J166"")"),0)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IFERROR(__xludf.DUMMYFUNCTION("IMPORTRANGE(""https://docs.google.com/spreadsheets/d/11923uPwbBZFjjGgGUA6NLw09EwE0CqkOc4q9oUmW1yo/edit?usp=sharing"",""นครสวรรค์!I506"")"),50)</f>
        <v>50</v>
      </c>
      <c r="J611" s="162">
        <f ca="1">IFERROR(__xludf.DUMMYFUNCTION("IMPORTRANGE(""https://docs.google.com/spreadsheets/d/11923uPwbBZFjjGgGUA6NLw09EwE0CqkOc4q9oUmW1yo/edit?usp=sharing"",""นครสวรรค์!J506"")"),0)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IFERROR(__xludf.DUMMYFUNCTION("IMPORTRANGE(""https://docs.google.com/spreadsheets/d/11923uPwbBZFjjGgGUA6NLw09EwE0CqkOc4q9oUmW1yo/edit?usp=sharing"",""นครสวรรค์!I507"")"),0)</f>
        <v>0</v>
      </c>
      <c r="J612" s="197">
        <f ca="1">IFERROR(__xludf.DUMMYFUNCTION("IMPORTRANGE(""https://docs.google.com/spreadsheets/d/11923uPwbBZFjjGgGUA6NLw09EwE0CqkOc4q9oUmW1yo/edit?usp=sharing"",""นครสวรรค์!J507"")"),14)</f>
        <v>14</v>
      </c>
      <c r="K612" s="163">
        <f t="shared" ca="1" si="127"/>
        <v>28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IFERROR(__xludf.DUMMYFUNCTION("IMPORTRANGE(""https://docs.google.com/spreadsheets/d/11923uPwbBZFjjGgGUA6NLw09EwE0CqkOc4q9oUmW1yo/edit?usp=sharing"",""นครสวรรค์!I508"")"),0)</f>
        <v>0</v>
      </c>
      <c r="J613" s="197">
        <f ca="1">IFERROR(__xludf.DUMMYFUNCTION("IMPORTRANGE(""https://docs.google.com/spreadsheets/d/11923uPwbBZFjjGgGUA6NLw09EwE0CqkOc4q9oUmW1yo/edit?usp=sharing"",""นครสวรรค์!J508"")"),0)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IFERROR(__xludf.DUMMYFUNCTION("IMPORTRANGE(""https://docs.google.com/spreadsheets/d/11923uPwbBZFjjGgGUA6NLw09EwE0CqkOc4q9oUmW1yo/edit?usp=sharing"",""นครสวรรค์!I509"")"),0)</f>
        <v>0</v>
      </c>
      <c r="J614" s="197">
        <f ca="1">IFERROR(__xludf.DUMMYFUNCTION("IMPORTRANGE(""https://docs.google.com/spreadsheets/d/11923uPwbBZFjjGgGUA6NLw09EwE0CqkOc4q9oUmW1yo/edit?usp=sharing"",""นครสวรรค์!J509"")"),0)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IFERROR(__xludf.DUMMYFUNCTION("IMPORTRANGE(""https://docs.google.com/spreadsheets/d/11923uPwbBZFjjGgGUA6NLw09EwE0CqkOc4q9oUmW1yo/edit?usp=sharing"",""นครสวรรค์!I510"")"),0)</f>
        <v>0</v>
      </c>
      <c r="J615" s="197">
        <f ca="1">IFERROR(__xludf.DUMMYFUNCTION("IMPORTRANGE(""https://docs.google.com/spreadsheets/d/11923uPwbBZFjjGgGUA6NLw09EwE0CqkOc4q9oUmW1yo/edit?usp=sharing"",""นครสวรรค์!J510"")"),0)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IFERROR(__xludf.DUMMYFUNCTION("IMPORTRANGE(""https://docs.google.com/spreadsheets/d/11923uPwbBZFjjGgGUA6NLw09EwE0CqkOc4q9oUmW1yo/edit?usp=sharing"",""นครสวรรค์!I511"")"),0)</f>
        <v>0</v>
      </c>
      <c r="J616" s="197">
        <f ca="1">IFERROR(__xludf.DUMMYFUNCTION("IMPORTRANGE(""https://docs.google.com/spreadsheets/d/11923uPwbBZFjjGgGUA6NLw09EwE0CqkOc4q9oUmW1yo/edit?usp=sharing"",""นครสวรรค์!J511"")"),0)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IFERROR(__xludf.DUMMYFUNCTION("IMPORTRANGE(""https://docs.google.com/spreadsheets/d/11923uPwbBZFjjGgGUA6NLw09EwE0CqkOc4q9oUmW1yo/edit?usp=sharing"",""นครสวรรค์!I512"")"),0)</f>
        <v>0</v>
      </c>
      <c r="J617" s="187">
        <f ca="1">IFERROR(__xludf.DUMMYFUNCTION("IMPORTRANGE(""https://docs.google.com/spreadsheets/d/11923uPwbBZFjjGgGUA6NLw09EwE0CqkOc4q9oUmW1yo/edit?usp=sharing"",""นครสวรรค์!J512"")"),0)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IFERROR(__xludf.DUMMYFUNCTION("IMPORTRANGE(""https://docs.google.com/spreadsheets/d/11923uPwbBZFjjGgGUA6NLw09EwE0CqkOc4q9oUmW1yo/edit?usp=sharing"",""นครสวรรค์!I513"")"),0)</f>
        <v>0</v>
      </c>
      <c r="J618" s="188">
        <f ca="1">IFERROR(__xludf.DUMMYFUNCTION("IMPORTRANGE(""https://docs.google.com/spreadsheets/d/11923uPwbBZFjjGgGUA6NLw09EwE0CqkOc4q9oUmW1yo/edit?usp=sharing"",""นครสวรรค์!J513"")"),0)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IFERROR(__xludf.DUMMYFUNCTION("IMPORTRANGE(""https://docs.google.com/spreadsheets/d/11923uPwbBZFjjGgGUA6NLw09EwE0CqkOc4q9oUmW1yo/edit?usp=sharing"",""นครสวรรค์!I514"")"),0)</f>
        <v>0</v>
      </c>
      <c r="J619" s="188">
        <f ca="1">IFERROR(__xludf.DUMMYFUNCTION("IMPORTRANGE(""https://docs.google.com/spreadsheets/d/11923uPwbBZFjjGgGUA6NLw09EwE0CqkOc4q9oUmW1yo/edit?usp=sharing"",""นครสวรรค์!J514"")"),0)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IFERROR(__xludf.DUMMYFUNCTION("IMPORTRANGE(""https://docs.google.com/spreadsheets/d/11923uPwbBZFjjGgGUA6NLw09EwE0CqkOc4q9oUmW1yo/edit?usp=sharing"",""นครสวรรค์!I515"")"),0)</f>
        <v>0</v>
      </c>
      <c r="J620" s="202">
        <f ca="1">IFERROR(__xludf.DUMMYFUNCTION("IMPORTRANGE(""https://docs.google.com/spreadsheets/d/11923uPwbBZFjjGgGUA6NLw09EwE0CqkOc4q9oUmW1yo/edit?usp=sharing"",""นครสวรรค์!J515"")"),0)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IFERROR(__xludf.DUMMYFUNCTION("IMPORTRANGE(""https://docs.google.com/spreadsheets/d/11923uPwbBZFjjGgGUA6NLw09EwE0CqkOc4q9oUmW1yo/edit?usp=sharing"",""นครสวรรค์!I516"")"),0)</f>
        <v>0</v>
      </c>
      <c r="J621" s="202">
        <f ca="1">IFERROR(__xludf.DUMMYFUNCTION("IMPORTRANGE(""https://docs.google.com/spreadsheets/d/11923uPwbBZFjjGgGUA6NLw09EwE0CqkOc4q9oUmW1yo/edit?usp=sharing"",""นครสวรรค์!J516"")"),0)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IFERROR(__xludf.DUMMYFUNCTION("IMPORTRANGE(""https://docs.google.com/spreadsheets/d/11923uPwbBZFjjGgGUA6NLw09EwE0CqkOc4q9oUmW1yo/edit?usp=sharing"",""นครสวรรค์!I517"")"),0)</f>
        <v>0</v>
      </c>
      <c r="J622" s="188">
        <f ca="1">IFERROR(__xludf.DUMMYFUNCTION("IMPORTRANGE(""https://docs.google.com/spreadsheets/d/11923uPwbBZFjjGgGUA6NLw09EwE0CqkOc4q9oUmW1yo/edit?usp=sharing"",""นครสวรรค์!J517"")"),0)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IFERROR(__xludf.DUMMYFUNCTION("IMPORTRANGE(""https://docs.google.com/spreadsheets/d/11923uPwbBZFjjGgGUA6NLw09EwE0CqkOc4q9oUmW1yo/edit?usp=sharing"",""นครสวรรค์!I518"")"),0)</f>
        <v>0</v>
      </c>
      <c r="J623" s="188">
        <f ca="1">IFERROR(__xludf.DUMMYFUNCTION("IMPORTRANGE(""https://docs.google.com/spreadsheets/d/11923uPwbBZFjjGgGUA6NLw09EwE0CqkOc4q9oUmW1yo/edit?usp=sharing"",""นครสวรรค์!J518"")"),0)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IFERROR(__xludf.DUMMYFUNCTION("IMPORTRANGE(""https://docs.google.com/spreadsheets/d/11923uPwbBZFjjGgGUA6NLw09EwE0CqkOc4q9oUmW1yo/edit?usp=sharing"",""นครสวรรค์!I519"")"),0)</f>
        <v>0</v>
      </c>
      <c r="J624" s="187">
        <f ca="1">IFERROR(__xludf.DUMMYFUNCTION("IMPORTRANGE(""https://docs.google.com/spreadsheets/d/11923uPwbBZFjjGgGUA6NLw09EwE0CqkOc4q9oUmW1yo/edit?usp=sharing"",""นครสวรรค์!J519"")"),0)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IFERROR(__xludf.DUMMYFUNCTION("IMPORTRANGE(""https://docs.google.com/spreadsheets/d/11923uPwbBZFjjGgGUA6NLw09EwE0CqkOc4q9oUmW1yo/edit?usp=sharing"",""นครสวรรค์!I520"")"),0)</f>
        <v>0</v>
      </c>
      <c r="J625" s="188">
        <f ca="1">IFERROR(__xludf.DUMMYFUNCTION("IMPORTRANGE(""https://docs.google.com/spreadsheets/d/11923uPwbBZFjjGgGUA6NLw09EwE0CqkOc4q9oUmW1yo/edit?usp=sharing"",""นครสวรรค์!J520"")"),0)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IFERROR(__xludf.DUMMYFUNCTION("IMPORTRANGE(""https://docs.google.com/spreadsheets/d/11923uPwbBZFjjGgGUA6NLw09EwE0CqkOc4q9oUmW1yo/edit?usp=sharing"",""นครสวรรค์!I521"")"),0)</f>
        <v>0</v>
      </c>
      <c r="J626" s="188">
        <f ca="1">IFERROR(__xludf.DUMMYFUNCTION("IMPORTRANGE(""https://docs.google.com/spreadsheets/d/11923uPwbBZFjjGgGUA6NLw09EwE0CqkOc4q9oUmW1yo/edit?usp=sharing"",""นครสวรรค์!J521"")"),0)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IFERROR(__xludf.DUMMYFUNCTION("IMPORTRANGE(""https://docs.google.com/spreadsheets/d/11923uPwbBZFjjGgGUA6NLw09EwE0CqkOc4q9oUmW1yo/edit?usp=sharing"",""นครสวรรค์!I523"")"),1200000)</f>
        <v>1200000</v>
      </c>
      <c r="J628" s="339">
        <f ca="1">IFERROR(__xludf.DUMMYFUNCTION("IMPORTRANGE(""https://docs.google.com/spreadsheets/d/11923uPwbBZFjjGgGUA6NLw09EwE0CqkOc4q9oUmW1yo/edit?usp=sharing"",""นครสวรรค์!J523"")"),180000)</f>
        <v>180000</v>
      </c>
      <c r="K628" s="340">
        <f t="shared" ref="K628:K635" ca="1" si="129">IF(I628&gt;0,J628*100/I628,0)</f>
        <v>15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IFERROR(__xludf.DUMMYFUNCTION("IMPORTRANGE(""https://docs.google.com/spreadsheets/d/11923uPwbBZFjjGgGUA6NLw09EwE0CqkOc4q9oUmW1yo/edit?usp=sharing"",""นครสวรรค์!I524"")"),60)</f>
        <v>60</v>
      </c>
      <c r="J629" s="339">
        <f ca="1">IFERROR(__xludf.DUMMYFUNCTION("IMPORTRANGE(""https://docs.google.com/spreadsheets/d/11923uPwbBZFjjGgGUA6NLw09EwE0CqkOc4q9oUmW1yo/edit?usp=sharing"",""นครสวรรค์!J524"")"),9)</f>
        <v>9</v>
      </c>
      <c r="K629" s="340">
        <f t="shared" ca="1" si="129"/>
        <v>15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39">
        <f ca="1">IFERROR(__xludf.DUMMYFUNCTION("IMPORTRANGE(""https://docs.google.com/spreadsheets/d/11923uPwbBZFjjGgGUA6NLw09EwE0CqkOc4q9oUmW1yo/edit?usp=sharing"",""นครสวรรค์!J525"")"),491050.18)</f>
        <v>491050.18</v>
      </c>
      <c r="K630" s="340">
        <f t="shared" ca="1" si="129"/>
        <v>9.8496967318501589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IFERROR(__xludf.DUMMYFUNCTION("IMPORTRANGE(""https://docs.google.com/spreadsheets/d/11923uPwbBZFjjGgGUA6NLw09EwE0CqkOc4q9oUmW1yo/edit?usp=sharing"",""นครสวรรค์!I526"")"),266)</f>
        <v>266</v>
      </c>
      <c r="J631" s="339">
        <f ca="1">IFERROR(__xludf.DUMMYFUNCTION("IMPORTRANGE(""https://docs.google.com/spreadsheets/d/11923uPwbBZFjjGgGUA6NLw09EwE0CqkOc4q9oUmW1yo/edit?usp=sharing"",""นครสวรรค์!J526"")"),193)</f>
        <v>193</v>
      </c>
      <c r="K631" s="340">
        <f t="shared" ca="1" si="129"/>
        <v>72.556390977443613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39">
        <f ca="1">IFERROR(__xludf.DUMMYFUNCTION("IMPORTRANGE(""https://docs.google.com/spreadsheets/d/11923uPwbBZFjjGgGUA6NLw09EwE0CqkOc4q9oUmW1yo/edit?usp=sharing"",""นครสวรรค์!J527"")"),8339361.09)</f>
        <v>8339361.0899999999</v>
      </c>
      <c r="K632" s="340">
        <f t="shared" ca="1" si="129"/>
        <v>16.230001439635519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IFERROR(__xludf.DUMMYFUNCTION("IMPORTRANGE(""https://docs.google.com/spreadsheets/d/11923uPwbBZFjjGgGUA6NLw09EwE0CqkOc4q9oUmW1yo/edit?usp=sharing"",""นครสวรรค์!I528"")"),4298)</f>
        <v>4298</v>
      </c>
      <c r="J633" s="339">
        <f ca="1">IFERROR(__xludf.DUMMYFUNCTION("IMPORTRANGE(""https://docs.google.com/spreadsheets/d/11923uPwbBZFjjGgGUA6NLw09EwE0CqkOc4q9oUmW1yo/edit?usp=sharing"",""นครสวรรค์!J528"")"),1067)</f>
        <v>1067</v>
      </c>
      <c r="K633" s="340">
        <f t="shared" ca="1" si="129"/>
        <v>24.825500232666357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IFERROR(__xludf.DUMMYFUNCTION("IMPORTRANGE(""https://docs.google.com/spreadsheets/d/11923uPwbBZFjjGgGUA6NLw09EwE0CqkOc4q9oUmW1yo/edit?usp=sharing"",""นครสวรรค์!I529"")"),1260000)</f>
        <v>1260000</v>
      </c>
      <c r="J634" s="339">
        <f ca="1">IFERROR(__xludf.DUMMYFUNCTION("IMPORTRANGE(""https://docs.google.com/spreadsheets/d/11923uPwbBZFjjGgGUA6NLw09EwE0CqkOc4q9oUmW1yo/edit?usp=sharing"",""นครสวรรค์!J529"")"),0)</f>
        <v>0</v>
      </c>
      <c r="K634" s="340">
        <f t="shared" ca="1" si="129"/>
        <v>0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IFERROR(__xludf.DUMMYFUNCTION("IMPORTRANGE(""https://docs.google.com/spreadsheets/d/11923uPwbBZFjjGgGUA6NLw09EwE0CqkOc4q9oUmW1yo/edit?usp=sharing"",""นครสวรรค์!I530"")"),63)</f>
        <v>63</v>
      </c>
      <c r="J635" s="502">
        <f ca="1">IFERROR(__xludf.DUMMYFUNCTION("IMPORTRANGE(""https://docs.google.com/spreadsheets/d/11923uPwbBZFjjGgGUA6NLw09EwE0CqkOc4q9oUmW1yo/edit?usp=sharing"",""นครสวรรค์!J530"")"),0)</f>
        <v>0</v>
      </c>
      <c r="K635" s="484">
        <f t="shared" ca="1" si="129"/>
        <v>0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10" width="13.90625" bestFit="1" customWidth="1"/>
    <col min="11" max="11" width="11" bestFit="1" customWidth="1"/>
    <col min="12" max="13" width="20.08984375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248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13693669</v>
      </c>
      <c r="M8" s="23">
        <f t="shared" ca="1" si="0"/>
        <v>9375844</v>
      </c>
      <c r="N8" s="23">
        <f t="shared" ca="1" si="0"/>
        <v>2546001</v>
      </c>
      <c r="O8" s="22">
        <f t="shared" ref="O8:O16" ca="1" si="1">IF(L8&gt;0,N8*100/L8,0)</f>
        <v>18.592540830364747</v>
      </c>
      <c r="P8" s="22">
        <f t="shared" ref="P8:P16" ca="1" si="2">IF(M8&gt;0,N8*100/M8,0)</f>
        <v>27.154899334929208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13693669</v>
      </c>
      <c r="M10" s="30">
        <f t="shared" ca="1" si="4"/>
        <v>9375844</v>
      </c>
      <c r="N10" s="30">
        <f t="shared" ca="1" si="4"/>
        <v>2546001</v>
      </c>
      <c r="O10" s="29">
        <f t="shared" ca="1" si="1"/>
        <v>18.592540830364747</v>
      </c>
      <c r="P10" s="29">
        <f t="shared" ca="1" si="2"/>
        <v>27.154899334929208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6403069</v>
      </c>
      <c r="M12" s="38">
        <f t="shared" ca="1" si="6"/>
        <v>2085244</v>
      </c>
      <c r="N12" s="38">
        <f t="shared" ca="1" si="6"/>
        <v>2055401</v>
      </c>
      <c r="O12" s="38">
        <f t="shared" ca="1" si="1"/>
        <v>32.100247553165524</v>
      </c>
      <c r="P12" s="38">
        <f t="shared" ca="1" si="2"/>
        <v>98.568848537629165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1874000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4529069</v>
      </c>
      <c r="M14" s="38">
        <f t="shared" si="8"/>
        <v>0</v>
      </c>
      <c r="N14" s="38">
        <f t="shared" ca="1" si="8"/>
        <v>502834</v>
      </c>
      <c r="O14" s="38">
        <f t="shared" ca="1" si="1"/>
        <v>11.102370045587735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7290600</v>
      </c>
      <c r="M16" s="38">
        <f t="shared" ca="1" si="10"/>
        <v>7290600</v>
      </c>
      <c r="N16" s="38">
        <f t="shared" ca="1" si="10"/>
        <v>490600</v>
      </c>
      <c r="O16" s="49">
        <f t="shared" ca="1" si="1"/>
        <v>6.729212959152882</v>
      </c>
      <c r="P16" s="49">
        <f t="shared" ca="1" si="2"/>
        <v>6.729212959152882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10918675</v>
      </c>
      <c r="M18" s="23">
        <f t="shared" ca="1" si="11"/>
        <v>9375844</v>
      </c>
      <c r="N18" s="23">
        <f t="shared" ca="1" si="11"/>
        <v>2043167</v>
      </c>
      <c r="O18" s="22">
        <f t="shared" ref="O18:O20" ca="1" si="12">IF(L18&gt;0,N18*100/L18,0)</f>
        <v>18.712591042411283</v>
      </c>
      <c r="P18" s="22">
        <f t="shared" ref="P18:P26" ca="1" si="13">IF(M18&gt;0,N18*100/M18,0)</f>
        <v>21.791819488464185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10918675</v>
      </c>
      <c r="M20" s="30">
        <f t="shared" ca="1" si="15"/>
        <v>9375844</v>
      </c>
      <c r="N20" s="30">
        <f t="shared" ca="1" si="15"/>
        <v>2043167</v>
      </c>
      <c r="O20" s="29">
        <f t="shared" ca="1" si="12"/>
        <v>18.712591042411283</v>
      </c>
      <c r="P20" s="29">
        <f t="shared" ca="1" si="13"/>
        <v>21.791819488464185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3628075</v>
      </c>
      <c r="M22" s="41">
        <f t="shared" ca="1" si="18"/>
        <v>2085244</v>
      </c>
      <c r="N22" s="38">
        <f t="shared" ca="1" si="18"/>
        <v>1552567</v>
      </c>
      <c r="O22" s="38">
        <f t="shared" ca="1" si="17"/>
        <v>42.793134100039275</v>
      </c>
      <c r="P22" s="38">
        <f t="shared" ca="1" si="13"/>
        <v>74.454931892862419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1874000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1754075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7290600</v>
      </c>
      <c r="M26" s="49">
        <f t="shared" ca="1" si="22"/>
        <v>7290600</v>
      </c>
      <c r="N26" s="49">
        <f t="shared" ca="1" si="22"/>
        <v>490600</v>
      </c>
      <c r="O26" s="49">
        <f t="shared" ca="1" si="17"/>
        <v>6.729212959152882</v>
      </c>
      <c r="P26" s="49">
        <f t="shared" ca="1" si="13"/>
        <v>6.729212959152882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2774994</v>
      </c>
      <c r="M28" s="23">
        <f t="shared" si="23"/>
        <v>0</v>
      </c>
      <c r="N28" s="23">
        <f t="shared" ca="1" si="23"/>
        <v>502834</v>
      </c>
      <c r="O28" s="22">
        <f t="shared" ref="O28:O30" ca="1" si="24">IF(L28&gt;0,N28*100/L28,0)</f>
        <v>18.120183322918898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2774994</v>
      </c>
      <c r="M30" s="30">
        <f t="shared" si="27"/>
        <v>0</v>
      </c>
      <c r="N30" s="30">
        <f t="shared" ca="1" si="27"/>
        <v>502834</v>
      </c>
      <c r="O30" s="29">
        <f t="shared" ca="1" si="24"/>
        <v>18.120183322918898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2774994</v>
      </c>
      <c r="M32" s="38">
        <f t="shared" si="30"/>
        <v>0</v>
      </c>
      <c r="N32" s="38">
        <f t="shared" ca="1" si="30"/>
        <v>502834</v>
      </c>
      <c r="O32" s="38">
        <f t="shared" ca="1" si="29"/>
        <v>18.120183322918898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2774994</v>
      </c>
      <c r="M34" s="38">
        <f t="shared" si="32"/>
        <v>0</v>
      </c>
      <c r="N34" s="38">
        <f t="shared" ca="1" si="32"/>
        <v>502834</v>
      </c>
      <c r="O34" s="38">
        <f t="shared" ca="1" si="29"/>
        <v>18.120183322918898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10918675</v>
      </c>
      <c r="M37" s="54">
        <f t="shared" ca="1" si="33"/>
        <v>9375844</v>
      </c>
      <c r="N37" s="54">
        <f t="shared" ca="1" si="33"/>
        <v>2043167</v>
      </c>
      <c r="O37" s="55">
        <f t="shared" ca="1" si="29"/>
        <v>18.712591042411283</v>
      </c>
      <c r="P37" s="55">
        <f t="shared" ca="1" si="25"/>
        <v>21.791819488464185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7540500</v>
      </c>
      <c r="M41" s="78">
        <f t="shared" ca="1" si="34"/>
        <v>7170300</v>
      </c>
      <c r="N41" s="78">
        <f t="shared" ca="1" si="34"/>
        <v>295631</v>
      </c>
      <c r="O41" s="77">
        <f t="shared" ref="O41:O43" ca="1" si="35">IF(L41&gt;0,N41*100/L41,0)</f>
        <v>3.9205755586499569</v>
      </c>
      <c r="P41" s="77">
        <f t="shared" ref="P41:P43" ca="1" si="36">IF(M41&gt;0,N41*100/M41,0)</f>
        <v>4.1229934591300221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7540500</v>
      </c>
      <c r="M43" s="78">
        <f t="shared" ca="1" si="38"/>
        <v>7170300</v>
      </c>
      <c r="N43" s="78">
        <f t="shared" ca="1" si="38"/>
        <v>295631</v>
      </c>
      <c r="O43" s="77">
        <f t="shared" ca="1" si="35"/>
        <v>3.9205755586499569</v>
      </c>
      <c r="P43" s="77">
        <f t="shared" ca="1" si="36"/>
        <v>4.1229934591300221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740500</v>
      </c>
      <c r="M45" s="49">
        <f ca="1">IFERROR(__xludf.DUMMYFUNCTION("IMPORTRANGE(""https://docs.google.com/spreadsheets/d/1Yj_ptqi66GCucihVvJfMjLAmec39IyEx_6qawtMGysU/edit?usp=sharing"",""สบก!Q25"")"),370300)</f>
        <v>370300</v>
      </c>
      <c r="N45" s="49">
        <f ca="1">IFERROR(__xludf.DUMMYFUNCTION("IMPORTRANGE(""https://docs.google.com/spreadsheets/d/1Yj_ptqi66GCucihVvJfMjLAmec39IyEx_6qawtMGysU/edit?usp=sharing"",""สบก!R25"")"),295631)</f>
        <v>295631</v>
      </c>
      <c r="O45" s="38">
        <f ca="1">IF(L45&gt;0,N45*100/L45,0)</f>
        <v>39.923160027008777</v>
      </c>
      <c r="P45" s="38">
        <f ca="1">IF(M45&gt;0,N45*100/M45,0)</f>
        <v>79.83553875236295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IFERROR(__xludf.DUMMYFUNCTION("IMPORTRANGE(""https://docs.google.com/spreadsheets/d/1Yj_ptqi66GCucihVvJfMjLAmec39IyEx_6qawtMGysU/edit?usp=sharing"",""สบก!M25"")"),740500)</f>
        <v>740500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IFERROR(__xludf.DUMMYFUNCTION("IMPORTRANGE(""https://docs.google.com/spreadsheets/d/1Yj_ptqi66GCucihVvJfMjLAmec39IyEx_6qawtMGysU/edit?usp=sharing"",""สบก!N25"")"),0)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IFERROR(__xludf.DUMMYFUNCTION("IMPORTRANGE(""https://docs.google.com/spreadsheets/d/1Yj_ptqi66GCucihVvJfMjLAmec39IyEx_6qawtMGysU/edit?usp=sharing"",""สบก!O25"")"),6800000)</f>
        <v>6800000</v>
      </c>
      <c r="M49" s="49">
        <f ca="1">L49</f>
        <v>6800000</v>
      </c>
      <c r="N49" s="49">
        <f ca="1">IFERROR(__xludf.DUMMYFUNCTION("IMPORTRANGE(""https://docs.google.com/spreadsheets/d/1Yj_ptqi66GCucihVvJfMjLAmec39IyEx_6qawtMGysU/edit?usp=sharing"",""สบก!S25"")"),0)</f>
        <v>0</v>
      </c>
      <c r="O49" s="49">
        <f ca="1">IF(L49&gt;0,N49*100/L49,0)</f>
        <v>0</v>
      </c>
      <c r="P49" s="49">
        <f ca="1">IF(M49&gt;0,N49*100/M49,0)</f>
        <v>0</v>
      </c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400000</v>
      </c>
      <c r="M53" s="120">
        <f t="shared" ca="1" si="39"/>
        <v>369089</v>
      </c>
      <c r="N53" s="120">
        <f t="shared" ca="1" si="39"/>
        <v>310488</v>
      </c>
      <c r="O53" s="119">
        <f t="shared" ref="O53:O55" ca="1" si="40">IF(L53&gt;0,N53*100/L53,0)</f>
        <v>77.622</v>
      </c>
      <c r="P53" s="119">
        <f t="shared" ref="P53:P55" ca="1" si="41">IF(M53&gt;0,N53*100/M53,0)</f>
        <v>84.122799649948931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400000</v>
      </c>
      <c r="M55" s="120">
        <f t="shared" ca="1" si="43"/>
        <v>369089</v>
      </c>
      <c r="N55" s="120">
        <f t="shared" ca="1" si="43"/>
        <v>310488</v>
      </c>
      <c r="O55" s="119">
        <f t="shared" ca="1" si="40"/>
        <v>77.622</v>
      </c>
      <c r="P55" s="119">
        <f t="shared" ca="1" si="41"/>
        <v>84.122799649948931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IFERROR(__xludf.DUMMYFUNCTION("IMPORTRANGE(""https://docs.google.com/spreadsheets/d/1Yj_ptqi66GCucihVvJfMjLAmec39IyEx_6qawtMGysU/edit?usp=sharing"",""สบก!Z25"")"),369089)</f>
        <v>369089</v>
      </c>
      <c r="N57" s="49">
        <f ca="1">IFERROR(__xludf.DUMMYFUNCTION("IMPORTRANGE(""https://docs.google.com/spreadsheets/d/1Yj_ptqi66GCucihVvJfMjLAmec39IyEx_6qawtMGysU/edit?usp=sharing"",""สบก!AA25"")"),310488)</f>
        <v>310488</v>
      </c>
      <c r="O57" s="38">
        <f ca="1">IF(L57&gt;0,N57*100/L57,0)</f>
        <v>77.622</v>
      </c>
      <c r="P57" s="38">
        <f ca="1">IF(M57&gt;0,N57*100/M57,0)</f>
        <v>84.122799649948931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IFERROR(__xludf.DUMMYFUNCTION("IMPORTRANGE(""https://docs.google.com/spreadsheets/d/1Yj_ptqi66GCucihVvJfMjLAmec39IyEx_6qawtMGysU/edit?usp=sharing"",""สบก!V25"")"),400000)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IFERROR(__xludf.DUMMYFUNCTION("IMPORTRANGE(""https://docs.google.com/spreadsheets/d/1Yj_ptqi66GCucihVvJfMjLAmec39IyEx_6qawtMGysU/edit?usp=sharing"",""สบก!W25"")"),0)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IFERROR(__xludf.DUMMYFUNCTION("IMPORTRANGE(""https://docs.google.com/spreadsheets/d/1Yj_ptqi66GCucihVvJfMjLAmec39IyEx_6qawtMGysU/edit?usp=sharing"",""สบก!X25"")"),0)</f>
        <v>0</v>
      </c>
      <c r="M61" s="49"/>
      <c r="N61" s="49">
        <f ca="1">IFERROR(__xludf.DUMMYFUNCTION("IMPORTRANGE(""https://docs.google.com/spreadsheets/d/1Yj_ptqi66GCucihVvJfMjLAmec39IyEx_6qawtMGysU/edit?usp=sharing"",""สบก!AB25"")"),0)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IFERROR(__xludf.DUMMYFUNCTION("IMPORTRANGE(""https://docs.google.com/spreadsheets/d/11923uPwbBZFjjGgGUA6NLw09EwE0CqkOc4q9oUmW1yo/edit?usp=sharing"",""น่าน!I9"")"),1)</f>
        <v>1</v>
      </c>
      <c r="J64" s="141">
        <f ca="1">IFERROR(__xludf.DUMMYFUNCTION("IMPORTRANGE(""https://docs.google.com/spreadsheets/d/11923uPwbBZFjjGgGUA6NLw09EwE0CqkOc4q9oUmW1yo/edit?usp=sharing"",""น่าน!J9"")"),1)</f>
        <v>1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IFERROR(__xludf.DUMMYFUNCTION("IMPORTRANGE(""https://docs.google.com/spreadsheets/d/11923uPwbBZFjjGgGUA6NLw09EwE0CqkOc4q9oUmW1yo/edit?usp=sharing"",""น่าน!I10"")"),63)</f>
        <v>63</v>
      </c>
      <c r="J65" s="141">
        <f ca="1">IFERROR(__xludf.DUMMYFUNCTION("IMPORTRANGE(""https://docs.google.com/spreadsheets/d/11923uPwbBZFjjGgGUA6NLw09EwE0CqkOc4q9oUmW1yo/edit?usp=sharing"",""น่าน!J10"")"),63)</f>
        <v>63</v>
      </c>
      <c r="K65" s="142">
        <f t="shared" ca="1" si="44"/>
        <v>100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937200</v>
      </c>
      <c r="M66" s="151">
        <f t="shared" ca="1" si="45"/>
        <v>697020</v>
      </c>
      <c r="N66" s="151">
        <f t="shared" ca="1" si="45"/>
        <v>537771</v>
      </c>
      <c r="O66" s="150">
        <f t="shared" ref="O66:O68" ca="1" si="46">IF(L66&gt;0,N66*100/L66,0)</f>
        <v>57.380601792573621</v>
      </c>
      <c r="P66" s="150">
        <f t="shared" ref="P66:P68" ca="1" si="47">IF(M66&gt;0,N66*100/M66,0)</f>
        <v>77.152879400878021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937200</v>
      </c>
      <c r="M68" s="87">
        <f t="shared" ca="1" si="49"/>
        <v>697020</v>
      </c>
      <c r="N68" s="87">
        <f t="shared" ca="1" si="49"/>
        <v>537771</v>
      </c>
      <c r="O68" s="155">
        <f t="shared" ca="1" si="46"/>
        <v>57.380601792573621</v>
      </c>
      <c r="P68" s="155">
        <f t="shared" ca="1" si="47"/>
        <v>77.152879400878021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553600</v>
      </c>
      <c r="M70" s="167">
        <f ca="1">IFERROR(__xludf.DUMMYFUNCTION("IMPORTRANGE(""https://docs.google.com/spreadsheets/d/1Yj_ptqi66GCucihVvJfMjLAmec39IyEx_6qawtMGysU/edit?usp=sharing"",""สบก!AI25"")"),313420)</f>
        <v>313420</v>
      </c>
      <c r="N70" s="168">
        <f ca="1">IFERROR(__xludf.DUMMYFUNCTION("IMPORTRANGE(""https://docs.google.com/spreadsheets/d/1Yj_ptqi66GCucihVvJfMjLAmec39IyEx_6qawtMGysU/edit?usp=sharing"",""สบก!AJ25"")"),154171)</f>
        <v>154171</v>
      </c>
      <c r="O70" s="168">
        <f ca="1">IF(L70&gt;0,N70*100/L70,0)</f>
        <v>27.848807803468208</v>
      </c>
      <c r="P70" s="168">
        <f ca="1">IF(M70&gt;0,N70*100/M70,0)</f>
        <v>49.189904919915769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IFERROR(__xludf.DUMMYFUNCTION("IMPORTRANGE(""https://docs.google.com/spreadsheets/d/1Yj_ptqi66GCucihVvJfMjLAmec39IyEx_6qawtMGysU/edit?usp=sharing"",""สบก!AE25"")"),0)</f>
        <v>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IFERROR(__xludf.DUMMYFUNCTION("IMPORTRANGE(""https://docs.google.com/spreadsheets/d/1Yj_ptqi66GCucihVvJfMjLAmec39IyEx_6qawtMGysU/edit?usp=sharing"",""สบก!AF25"")"),553600)</f>
        <v>553600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IFERROR(__xludf.DUMMYFUNCTION("IMPORTRANGE(""https://docs.google.com/spreadsheets/d/1Yj_ptqi66GCucihVvJfMjLAmec39IyEx_6qawtMGysU/edit?usp=sharing"",""สบก!AG25"")"),383600)</f>
        <v>383600</v>
      </c>
      <c r="M74" s="49">
        <f ca="1">L74</f>
        <v>383600</v>
      </c>
      <c r="N74" s="49">
        <f ca="1">IFERROR(__xludf.DUMMYFUNCTION("IMPORTRANGE(""https://docs.google.com/spreadsheets/d/1Yj_ptqi66GCucihVvJfMjLAmec39IyEx_6qawtMGysU/edit?usp=sharing"",""สบก!AK25"")"),383600)</f>
        <v>383600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IFERROR(__xludf.DUMMYFUNCTION("IMPORTRANGE(""https://docs.google.com/spreadsheets/d/11923uPwbBZFjjGgGUA6NLw09EwE0CqkOc4q9oUmW1yo/edit?usp=sharing"",""น่าน!J16"")"),0)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IFERROR(__xludf.DUMMYFUNCTION("IMPORTRANGE(""https://docs.google.com/spreadsheets/d/11923uPwbBZFjjGgGUA6NLw09EwE0CqkOc4q9oUmW1yo/edit?usp=sharing"",""น่าน!J17"")"),1)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IFERROR(__xludf.DUMMYFUNCTION("IMPORTRANGE(""https://docs.google.com/spreadsheets/d/11923uPwbBZFjjGgGUA6NLw09EwE0CqkOc4q9oUmW1yo/edit?usp=sharing"",""น่าน!J18"")"),1)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IFERROR(__xludf.DUMMYFUNCTION("IMPORTRANGE(""https://docs.google.com/spreadsheets/d/11923uPwbBZFjjGgGUA6NLw09EwE0CqkOc4q9oUmW1yo/edit?usp=sharing"",""น่าน!J19"")"),1)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IFERROR(__xludf.DUMMYFUNCTION("IMPORTRANGE(""https://docs.google.com/spreadsheets/d/11923uPwbBZFjjGgGUA6NLw09EwE0CqkOc4q9oUmW1yo/edit?usp=sharing"",""น่าน!I20"")"),1)</f>
        <v>1</v>
      </c>
      <c r="J80" s="200">
        <f ca="1">IFERROR(__xludf.DUMMYFUNCTION("IMPORTRANGE(""https://docs.google.com/spreadsheets/d/11923uPwbBZFjjGgGUA6NLw09EwE0CqkOc4q9oUmW1yo/edit?usp=sharing"",""น่าน!J20"")"),1)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IFERROR(__xludf.DUMMYFUNCTION("IMPORTRANGE(""https://docs.google.com/spreadsheets/d/11923uPwbBZFjjGgGUA6NLw09EwE0CqkOc4q9oUmW1yo/edit?usp=sharing"",""น่าน!I21"")"),63)</f>
        <v>63</v>
      </c>
      <c r="J81" s="200">
        <f ca="1">IFERROR(__xludf.DUMMYFUNCTION("IMPORTRANGE(""https://docs.google.com/spreadsheets/d/11923uPwbBZFjjGgGUA6NLw09EwE0CqkOc4q9oUmW1yo/edit?usp=sharing"",""น่าน!J21"")"),63)</f>
        <v>63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IFERROR(__xludf.DUMMYFUNCTION("IMPORTRANGE(""https://docs.google.com/spreadsheets/d/11923uPwbBZFjjGgGUA6NLw09EwE0CqkOc4q9oUmW1yo/edit?usp=sharing"",""น่าน!I22"")"),0)</f>
        <v>0</v>
      </c>
      <c r="J82" s="203">
        <f ca="1">IFERROR(__xludf.DUMMYFUNCTION("IMPORTRANGE(""https://docs.google.com/spreadsheets/d/11923uPwbBZFjjGgGUA6NLw09EwE0CqkOc4q9oUmW1yo/edit?usp=sharing"",""น่าน!J22"")"),0)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IFERROR(__xludf.DUMMYFUNCTION("IMPORTRANGE(""https://docs.google.com/spreadsheets/d/11923uPwbBZFjjGgGUA6NLw09EwE0CqkOc4q9oUmW1yo/edit?usp=sharing"",""น่าน!I23"")"),0)</f>
        <v>0</v>
      </c>
      <c r="J83" s="203">
        <f ca="1">IFERROR(__xludf.DUMMYFUNCTION("IMPORTRANGE(""https://docs.google.com/spreadsheets/d/11923uPwbBZFjjGgGUA6NLw09EwE0CqkOc4q9oUmW1yo/edit?usp=sharing"",""น่าน!J23"")"),0)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IFERROR(__xludf.DUMMYFUNCTION("IMPORTRANGE(""https://docs.google.com/spreadsheets/d/11923uPwbBZFjjGgGUA6NLw09EwE0CqkOc4q9oUmW1yo/edit?usp=sharing"",""น่าน!I24"")"),0)</f>
        <v>0</v>
      </c>
      <c r="J84" s="188">
        <f ca="1">IFERROR(__xludf.DUMMYFUNCTION("IMPORTRANGE(""https://docs.google.com/spreadsheets/d/11923uPwbBZFjjGgGUA6NLw09EwE0CqkOc4q9oUmW1yo/edit?usp=sharing"",""น่าน!J24"")"),0)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IFERROR(__xludf.DUMMYFUNCTION("IMPORTRANGE(""https://docs.google.com/spreadsheets/d/11923uPwbBZFjjGgGUA6NLw09EwE0CqkOc4q9oUmW1yo/edit?usp=sharing"",""น่าน!I25"")"),0)</f>
        <v>0</v>
      </c>
      <c r="J85" s="188">
        <f ca="1">IFERROR(__xludf.DUMMYFUNCTION("IMPORTRANGE(""https://docs.google.com/spreadsheets/d/11923uPwbBZFjjGgGUA6NLw09EwE0CqkOc4q9oUmW1yo/edit?usp=sharing"",""น่าน!J25"")"),0)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IFERROR(__xludf.DUMMYFUNCTION("IMPORTRANGE(""https://docs.google.com/spreadsheets/d/11923uPwbBZFjjGgGUA6NLw09EwE0CqkOc4q9oUmW1yo/edit?usp=sharing"",""น่าน!I26"")"),1)</f>
        <v>1</v>
      </c>
      <c r="J86" s="203">
        <f ca="1">IFERROR(__xludf.DUMMYFUNCTION("IMPORTRANGE(""https://docs.google.com/spreadsheets/d/11923uPwbBZFjjGgGUA6NLw09EwE0CqkOc4q9oUmW1yo/edit?usp=sharing"",""น่าน!J26"")"),1)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IFERROR(__xludf.DUMMYFUNCTION("IMPORTRANGE(""https://docs.google.com/spreadsheets/d/11923uPwbBZFjjGgGUA6NLw09EwE0CqkOc4q9oUmW1yo/edit?usp=sharing"",""น่าน!I27"")"),63)</f>
        <v>63</v>
      </c>
      <c r="J87" s="203">
        <f ca="1">IFERROR(__xludf.DUMMYFUNCTION("IMPORTRANGE(""https://docs.google.com/spreadsheets/d/11923uPwbBZFjjGgGUA6NLw09EwE0CqkOc4q9oUmW1yo/edit?usp=sharing"",""น่าน!J27"")"),63)</f>
        <v>63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IFERROR(__xludf.DUMMYFUNCTION("IMPORTRANGE(""https://docs.google.com/spreadsheets/d/11923uPwbBZFjjGgGUA6NLw09EwE0CqkOc4q9oUmW1yo/edit?usp=sharing"",""น่าน!I28"")"),0)</f>
        <v>0</v>
      </c>
      <c r="J88" s="203">
        <f ca="1">IFERROR(__xludf.DUMMYFUNCTION("IMPORTRANGE(""https://docs.google.com/spreadsheets/d/11923uPwbBZFjjGgGUA6NLw09EwE0CqkOc4q9oUmW1yo/edit?usp=sharing"",""น่าน!J28"")"),0)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IFERROR(__xludf.DUMMYFUNCTION("IMPORTRANGE(""https://docs.google.com/spreadsheets/d/11923uPwbBZFjjGgGUA6NLw09EwE0CqkOc4q9oUmW1yo/edit?usp=sharing"",""น่าน!J29"")"),0)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IFERROR(__xludf.DUMMYFUNCTION("IMPORTRANGE(""https://docs.google.com/spreadsheets/d/11923uPwbBZFjjGgGUA6NLw09EwE0CqkOc4q9oUmW1yo/edit?usp=sharing"",""น่าน!J30"")"),0)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IFERROR(__xludf.DUMMYFUNCTION("IMPORTRANGE(""https://docs.google.com/spreadsheets/d/11923uPwbBZFjjGgGUA6NLw09EwE0CqkOc4q9oUmW1yo/edit?usp=sharing"",""น่าน!I32"")"),4)</f>
        <v>4</v>
      </c>
      <c r="J92" s="141">
        <f ca="1">IFERROR(__xludf.DUMMYFUNCTION("IMPORTRANGE(""https://docs.google.com/spreadsheets/d/11923uPwbBZFjjGgGUA6NLw09EwE0CqkOc4q9oUmW1yo/edit?usp=sharing"",""น่าน!J32"")"),4)</f>
        <v>4</v>
      </c>
      <c r="K92" s="142">
        <f t="shared" ref="K92:K93" ca="1" si="51">IF(I92&gt;0,J92*100/I92,0)</f>
        <v>100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IFERROR(__xludf.DUMMYFUNCTION("IMPORTRANGE(""https://docs.google.com/spreadsheets/d/11923uPwbBZFjjGgGUA6NLw09EwE0CqkOc4q9oUmW1yo/edit?usp=sharing"",""น่าน!I33"")"),1)</f>
        <v>1</v>
      </c>
      <c r="J93" s="141">
        <f ca="1">IFERROR(__xludf.DUMMYFUNCTION("IMPORTRANGE(""https://docs.google.com/spreadsheets/d/11923uPwbBZFjjGgGUA6NLw09EwE0CqkOc4q9oUmW1yo/edit?usp=sharing"",""น่าน!J33"")"),0)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214100</v>
      </c>
      <c r="M94" s="151">
        <f t="shared" ca="1" si="52"/>
        <v>160730</v>
      </c>
      <c r="N94" s="151">
        <f t="shared" ca="1" si="52"/>
        <v>127637</v>
      </c>
      <c r="O94" s="150">
        <f t="shared" ref="O94:O96" ca="1" si="53">IF(L94&gt;0,N94*100/L94,0)</f>
        <v>59.615600186828587</v>
      </c>
      <c r="P94" s="150">
        <f t="shared" ref="P94:P96" ca="1" si="54">IF(M94&gt;0,N94*100/M94,0)</f>
        <v>79.410813164934979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214100</v>
      </c>
      <c r="M96" s="87">
        <f t="shared" ca="1" si="56"/>
        <v>160730</v>
      </c>
      <c r="N96" s="87">
        <f t="shared" ca="1" si="56"/>
        <v>127637</v>
      </c>
      <c r="O96" s="155">
        <f t="shared" ca="1" si="53"/>
        <v>59.615600186828587</v>
      </c>
      <c r="P96" s="155">
        <f t="shared" ca="1" si="54"/>
        <v>79.410813164934979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IFERROR(__xludf.DUMMYFUNCTION("IMPORTRANGE(""https://docs.google.com/spreadsheets/d/1Yj_ptqi66GCucihVvJfMjLAmec39IyEx_6qawtMGysU/edit?usp=sharing"",""สบก!AR25"")"),68730)</f>
        <v>68730</v>
      </c>
      <c r="N98" s="168">
        <f ca="1">IFERROR(__xludf.DUMMYFUNCTION("IMPORTRANGE(""https://docs.google.com/spreadsheets/d/1Yj_ptqi66GCucihVvJfMjLAmec39IyEx_6qawtMGysU/edit?usp=sharing"",""สบก!AS25"")"),35637)</f>
        <v>35637</v>
      </c>
      <c r="O98" s="168">
        <f ca="1">IF(L98&gt;0,N98*100/L98,0)</f>
        <v>29.186732186732186</v>
      </c>
      <c r="P98" s="168">
        <f ca="1">IF(M98&gt;0,N98*100/M98,0)</f>
        <v>51.850720209515494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IFERROR(__xludf.DUMMYFUNCTION("IMPORTRANGE(""https://docs.google.com/spreadsheets/d/1Yj_ptqi66GCucihVvJfMjLAmec39IyEx_6qawtMGysU/edit?usp=sharing"",""สบก!AN25"")"),0)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IFERROR(__xludf.DUMMYFUNCTION("IMPORTRANGE(""https://docs.google.com/spreadsheets/d/1Yj_ptqi66GCucihVvJfMjLAmec39IyEx_6qawtMGysU/edit?usp=sharing"",""สบก!AO25"")"),122100)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IFERROR(__xludf.DUMMYFUNCTION("IMPORTRANGE(""https://docs.google.com/spreadsheets/d/1Yj_ptqi66GCucihVvJfMjLAmec39IyEx_6qawtMGysU/edit?usp=sharing"",""สบก!AP25"")"),92000)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IFERROR(__xludf.DUMMYFUNCTION("IMPORTRANGE(""https://docs.google.com/spreadsheets/d/1Yj_ptqi66GCucihVvJfMjLAmec39IyEx_6qawtMGysU/edit?usp=sharing"",""สบก!AT25"")"),92000)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IFERROR(__xludf.DUMMYFUNCTION("IMPORTRANGE(""https://docs.google.com/spreadsheets/d/11923uPwbBZFjjGgGUA6NLw09EwE0CqkOc4q9oUmW1yo/edit?usp=sharing"",""น่าน!J39"")"),0)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IFERROR(__xludf.DUMMYFUNCTION("IMPORTRANGE(""https://docs.google.com/spreadsheets/d/11923uPwbBZFjjGgGUA6NLw09EwE0CqkOc4q9oUmW1yo/edit?usp=sharing"",""น่าน!J40"")"),1)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IFERROR(__xludf.DUMMYFUNCTION("IMPORTRANGE(""https://docs.google.com/spreadsheets/d/11923uPwbBZFjjGgGUA6NLw09EwE0CqkOc4q9oUmW1yo/edit?usp=sharing"",""น่าน!J41"")"),1)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IFERROR(__xludf.DUMMYFUNCTION("IMPORTRANGE(""https://docs.google.com/spreadsheets/d/11923uPwbBZFjjGgGUA6NLw09EwE0CqkOc4q9oUmW1yo/edit?usp=sharing"",""น่าน!J42"")"),1)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IFERROR(__xludf.DUMMYFUNCTION("IMPORTRANGE(""https://docs.google.com/spreadsheets/d/11923uPwbBZFjjGgGUA6NLw09EwE0CqkOc4q9oUmW1yo/edit?usp=sharing"",""น่าน!I43"")"),1)</f>
        <v>1</v>
      </c>
      <c r="J108" s="203">
        <f ca="1">IFERROR(__xludf.DUMMYFUNCTION("IMPORTRANGE(""https://docs.google.com/spreadsheets/d/11923uPwbBZFjjGgGUA6NLw09EwE0CqkOc4q9oUmW1yo/edit?usp=sharing"",""น่าน!J43"")"),1)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IFERROR(__xludf.DUMMYFUNCTION("IMPORTRANGE(""https://docs.google.com/spreadsheets/d/11923uPwbBZFjjGgGUA6NLw09EwE0CqkOc4q9oUmW1yo/edit?usp=sharing"",""น่าน!I44"")"),4)</f>
        <v>4</v>
      </c>
      <c r="J109" s="203">
        <f ca="1">IFERROR(__xludf.DUMMYFUNCTION("IMPORTRANGE(""https://docs.google.com/spreadsheets/d/11923uPwbBZFjjGgGUA6NLw09EwE0CqkOc4q9oUmW1yo/edit?usp=sharing"",""น่าน!J44"")"),4)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IFERROR(__xludf.DUMMYFUNCTION("IMPORTRANGE(""https://docs.google.com/spreadsheets/d/11923uPwbBZFjjGgGUA6NLw09EwE0CqkOc4q9oUmW1yo/edit?usp=sharing"",""น่าน!I45"")"),4)</f>
        <v>4</v>
      </c>
      <c r="J110" s="203">
        <f ca="1">IFERROR(__xludf.DUMMYFUNCTION("IMPORTRANGE(""https://docs.google.com/spreadsheets/d/11923uPwbBZFjjGgGUA6NLw09EwE0CqkOc4q9oUmW1yo/edit?usp=sharing"",""น่าน!J45"")"),4)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IFERROR(__xludf.DUMMYFUNCTION("IMPORTRANGE(""https://docs.google.com/spreadsheets/d/11923uPwbBZFjjGgGUA6NLw09EwE0CqkOc4q9oUmW1yo/edit?usp=sharing"",""น่าน!I46"")"),4)</f>
        <v>4</v>
      </c>
      <c r="J111" s="203">
        <f ca="1">IFERROR(__xludf.DUMMYFUNCTION("IMPORTRANGE(""https://docs.google.com/spreadsheets/d/11923uPwbBZFjjGgGUA6NLw09EwE0CqkOc4q9oUmW1yo/edit?usp=sharing"",""น่าน!J46"")"),4)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IFERROR(__xludf.DUMMYFUNCTION("IMPORTRANGE(""https://docs.google.com/spreadsheets/d/11923uPwbBZFjjGgGUA6NLw09EwE0CqkOc4q9oUmW1yo/edit?usp=sharing"",""น่าน!I47"")"),4)</f>
        <v>4</v>
      </c>
      <c r="J112" s="203">
        <f ca="1">IFERROR(__xludf.DUMMYFUNCTION("IMPORTRANGE(""https://docs.google.com/spreadsheets/d/11923uPwbBZFjjGgGUA6NLw09EwE0CqkOc4q9oUmW1yo/edit?usp=sharing"",""น่าน!J47"")"),0)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IFERROR(__xludf.DUMMYFUNCTION("IMPORTRANGE(""https://docs.google.com/spreadsheets/d/11923uPwbBZFjjGgGUA6NLw09EwE0CqkOc4q9oUmW1yo/edit?usp=sharing"",""น่าน!I48"")"),1)</f>
        <v>1</v>
      </c>
      <c r="J113" s="203">
        <f ca="1">IFERROR(__xludf.DUMMYFUNCTION("IMPORTRANGE(""https://docs.google.com/spreadsheets/d/11923uPwbBZFjjGgGUA6NLw09EwE0CqkOc4q9oUmW1yo/edit?usp=sharing"",""น่าน!J48"")"),0)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IFERROR(__xludf.DUMMYFUNCTION("IMPORTRANGE(""https://docs.google.com/spreadsheets/d/11923uPwbBZFjjGgGUA6NLw09EwE0CqkOc4q9oUmW1yo/edit?usp=sharing"",""น่าน!J49"")"),0)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IFERROR(__xludf.DUMMYFUNCTION("IMPORTRANGE(""https://docs.google.com/spreadsheets/d/11923uPwbBZFjjGgGUA6NLw09EwE0CqkOc4q9oUmW1yo/edit?usp=sharing"",""น่าน!J50"")"),0)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IFERROR(__xludf.DUMMYFUNCTION("IMPORTRANGE(""https://docs.google.com/spreadsheets/d/11923uPwbBZFjjGgGUA6NLw09EwE0CqkOc4q9oUmW1yo/edit?usp=sharing"",""น่าน!I52"")"),0)</f>
        <v>0</v>
      </c>
      <c r="J117" s="141">
        <f ca="1">IFERROR(__xludf.DUMMYFUNCTION("IMPORTRANGE(""https://docs.google.com/spreadsheets/d/11923uPwbBZFjjGgGUA6NLw09EwE0CqkOc4q9oUmW1yo/edit?usp=sharing"",""น่าน!J52"")"),0)</f>
        <v>0</v>
      </c>
      <c r="K117" s="142">
        <f ca="1">IF(I117&gt;0,J117*100/I117,0)</f>
        <v>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0</v>
      </c>
      <c r="M118" s="151">
        <f t="shared" ca="1" si="58"/>
        <v>0</v>
      </c>
      <c r="N118" s="151">
        <f t="shared" ca="1" si="58"/>
        <v>0</v>
      </c>
      <c r="O118" s="150">
        <f t="shared" ref="O118:O120" ca="1" si="59">IF(L118&gt;0,N118*100/L118,0)</f>
        <v>0</v>
      </c>
      <c r="P118" s="150">
        <f t="shared" ref="P118:P120" ca="1" si="60">IF(M118&gt;0,N118*100/M118,0)</f>
        <v>0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0</v>
      </c>
      <c r="M120" s="87">
        <f t="shared" ca="1" si="62"/>
        <v>0</v>
      </c>
      <c r="N120" s="87">
        <f t="shared" ca="1" si="62"/>
        <v>0</v>
      </c>
      <c r="O120" s="155">
        <f t="shared" ca="1" si="59"/>
        <v>0</v>
      </c>
      <c r="P120" s="155">
        <f t="shared" ca="1" si="60"/>
        <v>0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IFERROR(__xludf.DUMMYFUNCTION("IMPORTRANGE(""https://docs.google.com/spreadsheets/d/1Yj_ptqi66GCucihVvJfMjLAmec39IyEx_6qawtMGysU/edit?usp=sharing"",""สบก!BA25"")"),0)</f>
        <v>0</v>
      </c>
      <c r="N122" s="168">
        <f ca="1">IFERROR(__xludf.DUMMYFUNCTION("IMPORTRANGE(""https://docs.google.com/spreadsheets/d/1Yj_ptqi66GCucihVvJfMjLAmec39IyEx_6qawtMGysU/edit?usp=sharing"",""สบก!BB25"")"),0)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IFERROR(__xludf.DUMMYFUNCTION("IMPORTRANGE(""https://docs.google.com/spreadsheets/d/1Yj_ptqi66GCucihVvJfMjLAmec39IyEx_6qawtMGysU/edit?usp=sharing"",""สบก!AW25"")"),0)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IFERROR(__xludf.DUMMYFUNCTION("IMPORTRANGE(""https://docs.google.com/spreadsheets/d/1Yj_ptqi66GCucihVvJfMjLAmec39IyEx_6qawtMGysU/edit?usp=sharing"",""สบก!AX25"")"),0)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IFERROR(__xludf.DUMMYFUNCTION("IMPORTRANGE(""https://docs.google.com/spreadsheets/d/1Yj_ptqi66GCucihVvJfMjLAmec39IyEx_6qawtMGysU/edit?usp=sharing"",""สบก!AY25"")"),0)</f>
        <v>0</v>
      </c>
      <c r="M126" s="49"/>
      <c r="N126" s="49">
        <f ca="1">IFERROR(__xludf.DUMMYFUNCTION("IMPORTRANGE(""https://docs.google.com/spreadsheets/d/1Yj_ptqi66GCucihVvJfMjLAmec39IyEx_6qawtMGysU/edit?usp=sharing"",""สบก!BC25"")"),0)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249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IFERROR(__xludf.DUMMYFUNCTION("IMPORTRANGE(""https://docs.google.com/spreadsheets/d/11923uPwbBZFjjGgGUA6NLw09EwE0CqkOc4q9oUmW1yo/edit?usp=sharing"",""น่าน!J58"")"),0)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IFERROR(__xludf.DUMMYFUNCTION("IMPORTRANGE(""https://docs.google.com/spreadsheets/d/11923uPwbBZFjjGgGUA6NLw09EwE0CqkOc4q9oUmW1yo/edit?usp=sharing"",""น่าน!J59"")"),0)</f>
        <v>0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IFERROR(__xludf.DUMMYFUNCTION("IMPORTRANGE(""https://docs.google.com/spreadsheets/d/11923uPwbBZFjjGgGUA6NLw09EwE0CqkOc4q9oUmW1yo/edit?usp=sharing"",""น่าน!J60"")"),0)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IFERROR(__xludf.DUMMYFUNCTION("IMPORTRANGE(""https://docs.google.com/spreadsheets/d/11923uPwbBZFjjGgGUA6NLw09EwE0CqkOc4q9oUmW1yo/edit?usp=sharing"",""น่าน!J61"")"),0)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IFERROR(__xludf.DUMMYFUNCTION("IMPORTRANGE(""https://docs.google.com/spreadsheets/d/11923uPwbBZFjjGgGUA6NLw09EwE0CqkOc4q9oUmW1yo/edit?usp=sharing"",""น่าน!I62"")"),0)</f>
        <v>0</v>
      </c>
      <c r="J132" s="203">
        <f ca="1">IFERROR(__xludf.DUMMYFUNCTION("IMPORTRANGE(""https://docs.google.com/spreadsheets/d/11923uPwbBZFjjGgGUA6NLw09EwE0CqkOc4q9oUmW1yo/edit?usp=sharing"",""น่าน!J62"")"),0)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IFERROR(__xludf.DUMMYFUNCTION("IMPORTRANGE(""https://docs.google.com/spreadsheets/d/11923uPwbBZFjjGgGUA6NLw09EwE0CqkOc4q9oUmW1yo/edit?usp=sharing"",""น่าน!I63"")"),0)</f>
        <v>0</v>
      </c>
      <c r="J133" s="203">
        <f ca="1">IFERROR(__xludf.DUMMYFUNCTION("IMPORTRANGE(""https://docs.google.com/spreadsheets/d/11923uPwbBZFjjGgGUA6NLw09EwE0CqkOc4q9oUmW1yo/edit?usp=sharing"",""น่าน!J63"")"),0)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IFERROR(__xludf.DUMMYFUNCTION("IMPORTRANGE(""https://docs.google.com/spreadsheets/d/11923uPwbBZFjjGgGUA6NLw09EwE0CqkOc4q9oUmW1yo/edit?usp=sharing"",""น่าน!J64"")"),0)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IFERROR(__xludf.DUMMYFUNCTION("IMPORTRANGE(""https://docs.google.com/spreadsheets/d/11923uPwbBZFjjGgGUA6NLw09EwE0CqkOc4q9oUmW1yo/edit?usp=sharing"",""น่าน!J65"")"),0)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IFERROR(__xludf.DUMMYFUNCTION("IMPORTRANGE(""https://docs.google.com/spreadsheets/d/11923uPwbBZFjjGgGUA6NLw09EwE0CqkOc4q9oUmW1yo/edit?usp=sharing"",""น่าน!I68"")"),90)</f>
        <v>90</v>
      </c>
      <c r="J138" s="266">
        <f ca="1">IFERROR(__xludf.DUMMYFUNCTION("IMPORTRANGE(""https://docs.google.com/spreadsheets/d/11923uPwbBZFjjGgGUA6NLw09EwE0CqkOc4q9oUmW1yo/edit?usp=sharing"",""น่าน!J68"")"),90)</f>
        <v>90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815200</v>
      </c>
      <c r="M140" s="151">
        <f t="shared" ca="1" si="64"/>
        <v>412550</v>
      </c>
      <c r="N140" s="151">
        <f t="shared" ca="1" si="64"/>
        <v>331491</v>
      </c>
      <c r="O140" s="150">
        <f t="shared" ref="O140:O142" ca="1" si="65">IF(L140&gt;0,N140*100/L140,0)</f>
        <v>40.663763493621197</v>
      </c>
      <c r="P140" s="150">
        <f t="shared" ref="P140:P142" ca="1" si="66">IF(M140&gt;0,N140*100/M140,0)</f>
        <v>80.351714943643188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815200</v>
      </c>
      <c r="M142" s="87">
        <f t="shared" ca="1" si="68"/>
        <v>412550</v>
      </c>
      <c r="N142" s="87">
        <f t="shared" ca="1" si="68"/>
        <v>331491</v>
      </c>
      <c r="O142" s="155">
        <f t="shared" ca="1" si="65"/>
        <v>40.663763493621197</v>
      </c>
      <c r="P142" s="155">
        <f t="shared" ca="1" si="66"/>
        <v>80.351714943643188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815200</v>
      </c>
      <c r="M144" s="167">
        <f ca="1">IFERROR(__xludf.DUMMYFUNCTION("IMPORTRANGE(""https://docs.google.com/spreadsheets/d/1Yj_ptqi66GCucihVvJfMjLAmec39IyEx_6qawtMGysU/edit?usp=sharing"",""สบก!BJ25"")"),412550)</f>
        <v>412550</v>
      </c>
      <c r="N144" s="168">
        <f ca="1">IFERROR(__xludf.DUMMYFUNCTION("IMPORTRANGE(""https://docs.google.com/spreadsheets/d/1Yj_ptqi66GCucihVvJfMjLAmec39IyEx_6qawtMGysU/edit?usp=sharing"",""สบก!BK25"")"),331491)</f>
        <v>331491</v>
      </c>
      <c r="O144" s="168">
        <f ca="1">IF(L144&gt;0,N144*100/L144,0)</f>
        <v>40.663763493621197</v>
      </c>
      <c r="P144" s="168">
        <f ca="1">IF(M144&gt;0,N144*100/M144,0)</f>
        <v>80.351714943643188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IFERROR(__xludf.DUMMYFUNCTION("IMPORTRANGE(""https://docs.google.com/spreadsheets/d/1Yj_ptqi66GCucihVvJfMjLAmec39IyEx_6qawtMGysU/edit?usp=sharing"",""สบก!BF25"")"),315900)</f>
        <v>315900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IFERROR(__xludf.DUMMYFUNCTION("IMPORTRANGE(""https://docs.google.com/spreadsheets/d/1Yj_ptqi66GCucihVvJfMjLAmec39IyEx_6qawtMGysU/edit?usp=sharing"",""สบก!BG25"")"),499300)</f>
        <v>499300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IFERROR(__xludf.DUMMYFUNCTION("IMPORTRANGE(""https://docs.google.com/spreadsheets/d/1Yj_ptqi66GCucihVvJfMjLAmec39IyEx_6qawtMGysU/edit?usp=sharing"",""สบก!BH25"")"),0)</f>
        <v>0</v>
      </c>
      <c r="M148" s="49"/>
      <c r="N148" s="49">
        <f ca="1">IFERROR(__xludf.DUMMYFUNCTION("IMPORTRANGE(""https://docs.google.com/spreadsheets/d/1Yj_ptqi66GCucihVvJfMjLAmec39IyEx_6qawtMGysU/edit?usp=sharing"",""สบก!BL25"")"),0)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IFERROR(__xludf.DUMMYFUNCTION("IMPORTRANGE(""https://docs.google.com/spreadsheets/d/11923uPwbBZFjjGgGUA6NLw09EwE0CqkOc4q9oUmW1yo/edit?usp=sharing"",""น่าน!I74"")"),4)</f>
        <v>4</v>
      </c>
      <c r="J149" s="274">
        <f ca="1">IFERROR(__xludf.DUMMYFUNCTION("IMPORTRANGE(""https://docs.google.com/spreadsheets/d/11923uPwbBZFjjGgGUA6NLw09EwE0CqkOc4q9oUmW1yo/edit?usp=sharing"",""น่าน!J74"")"),1)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IFERROR(__xludf.DUMMYFUNCTION("IMPORTRANGE(""https://docs.google.com/spreadsheets/d/11923uPwbBZFjjGgGUA6NLw09EwE0CqkOc4q9oUmW1yo/edit?usp=sharing"",""น่าน!J79"")"),0)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IFERROR(__xludf.DUMMYFUNCTION("IMPORTRANGE(""https://docs.google.com/spreadsheets/d/11923uPwbBZFjjGgGUA6NLw09EwE0CqkOc4q9oUmW1yo/edit?usp=sharing"",""น่าน!J80"")"),1)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IFERROR(__xludf.DUMMYFUNCTION("IMPORTRANGE(""https://docs.google.com/spreadsheets/d/11923uPwbBZFjjGgGUA6NLw09EwE0CqkOc4q9oUmW1yo/edit?usp=sharing"",""น่าน!J81"")"),1)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IFERROR(__xludf.DUMMYFUNCTION("IMPORTRANGE(""https://docs.google.com/spreadsheets/d/11923uPwbBZFjjGgGUA6NLw09EwE0CqkOc4q9oUmW1yo/edit?usp=sharing"",""น่าน!J82"")"),1)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IFERROR(__xludf.DUMMYFUNCTION("IMPORTRANGE(""https://docs.google.com/spreadsheets/d/11923uPwbBZFjjGgGUA6NLw09EwE0CqkOc4q9oUmW1yo/edit?usp=sharing"",""น่าน!I83"")"),4)</f>
        <v>4</v>
      </c>
      <c r="J158" s="188">
        <f ca="1">IFERROR(__xludf.DUMMYFUNCTION("IMPORTRANGE(""https://docs.google.com/spreadsheets/d/11923uPwbBZFjjGgGUA6NLw09EwE0CqkOc4q9oUmW1yo/edit?usp=sharing"",""น่าน!J83"")"),1)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IFERROR(__xludf.DUMMYFUNCTION("IMPORTRANGE(""https://docs.google.com/spreadsheets/d/11923uPwbBZFjjGgGUA6NLw09EwE0CqkOc4q9oUmW1yo/edit?usp=sharing"",""น่าน!J84"")"),107)</f>
        <v>107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IFERROR(__xludf.DUMMYFUNCTION("IMPORTRANGE(""https://docs.google.com/spreadsheets/d/11923uPwbBZFjjGgGUA6NLw09EwE0CqkOc4q9oUmW1yo/edit?usp=sharing"",""น่าน!J85"")"),107)</f>
        <v>107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IFERROR(__xludf.DUMMYFUNCTION("IMPORTRANGE(""https://docs.google.com/spreadsheets/d/11923uPwbBZFjjGgGUA6NLw09EwE0CqkOc4q9oUmW1yo/edit?usp=sharing"",""น่าน!J86"")"),0)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IFERROR(__xludf.DUMMYFUNCTION("IMPORTRANGE(""https://docs.google.com/spreadsheets/d/11923uPwbBZFjjGgGUA6NLw09EwE0CqkOc4q9oUmW1yo/edit?usp=sharing"",""น่าน!J87"")"),0)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IFERROR(__xludf.DUMMYFUNCTION("IMPORTRANGE(""https://docs.google.com/spreadsheets/d/11923uPwbBZFjjGgGUA6NLw09EwE0CqkOc4q9oUmW1yo/edit?usp=sharing"",""น่าน!J88"")"),0)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IFERROR(__xludf.DUMMYFUNCTION("IMPORTRANGE(""https://docs.google.com/spreadsheets/d/11923uPwbBZFjjGgGUA6NLw09EwE0CqkOc4q9oUmW1yo/edit?usp=sharing"",""น่าน!I89"")"),4)</f>
        <v>4</v>
      </c>
      <c r="J164" s="282">
        <f ca="1">IFERROR(__xludf.DUMMYFUNCTION("IMPORTRANGE(""https://docs.google.com/spreadsheets/d/11923uPwbBZFjjGgGUA6NLw09EwE0CqkOc4q9oUmW1yo/edit?usp=sharing"",""น่าน!J89"")"),3)</f>
        <v>3</v>
      </c>
      <c r="K164" s="283">
        <f ca="1">IF(I164&gt;0,J164*100/I164,0)</f>
        <v>75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IFERROR(__xludf.DUMMYFUNCTION("IMPORTRANGE(""https://docs.google.com/spreadsheets/d/11923uPwbBZFjjGgGUA6NLw09EwE0CqkOc4q9oUmW1yo/edit?usp=sharing"",""น่าน!J94"")"),0)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IFERROR(__xludf.DUMMYFUNCTION("IMPORTRANGE(""https://docs.google.com/spreadsheets/d/11923uPwbBZFjjGgGUA6NLw09EwE0CqkOc4q9oUmW1yo/edit?usp=sharing"",""น่าน!J95"")"),1)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IFERROR(__xludf.DUMMYFUNCTION("IMPORTRANGE(""https://docs.google.com/spreadsheets/d/11923uPwbBZFjjGgGUA6NLw09EwE0CqkOc4q9oUmW1yo/edit?usp=sharing"",""น่าน!J96"")"),1)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IFERROR(__xludf.DUMMYFUNCTION("IMPORTRANGE(""https://docs.google.com/spreadsheets/d/11923uPwbBZFjjGgGUA6NLw09EwE0CqkOc4q9oUmW1yo/edit?usp=sharing"",""น่าน!J97"")"),1)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IFERROR(__xludf.DUMMYFUNCTION("IMPORTRANGE(""https://docs.google.com/spreadsheets/d/11923uPwbBZFjjGgGUA6NLw09EwE0CqkOc4q9oUmW1yo/edit?usp=sharing"",""น่าน!I98"")"),4)</f>
        <v>4</v>
      </c>
      <c r="J173" s="188">
        <f ca="1">IFERROR(__xludf.DUMMYFUNCTION("IMPORTRANGE(""https://docs.google.com/spreadsheets/d/11923uPwbBZFjjGgGUA6NLw09EwE0CqkOc4q9oUmW1yo/edit?usp=sharing"",""น่าน!J98"")"),3)</f>
        <v>3</v>
      </c>
      <c r="K173" s="163">
        <f ca="1">IF(I173&gt;0,J173*100/I173,0)</f>
        <v>75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IFERROR(__xludf.DUMMYFUNCTION("IMPORTRANGE(""https://docs.google.com/spreadsheets/d/11923uPwbBZFjjGgGUA6NLw09EwE0CqkOc4q9oUmW1yo/edit?usp=sharing"",""น่าน!J99"")"),0)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IFERROR(__xludf.DUMMYFUNCTION("IMPORTRANGE(""https://docs.google.com/spreadsheets/d/11923uPwbBZFjjGgGUA6NLw09EwE0CqkOc4q9oUmW1yo/edit?usp=sharing"",""น่าน!J100"")"),0)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IFERROR(__xludf.DUMMYFUNCTION("IMPORTRANGE(""https://docs.google.com/spreadsheets/d/11923uPwbBZFjjGgGUA6NLw09EwE0CqkOc4q9oUmW1yo/edit?usp=sharing"",""น่าน!I101"")"),0)</f>
        <v>0</v>
      </c>
      <c r="J176" s="282">
        <f ca="1">IFERROR(__xludf.DUMMYFUNCTION("IMPORTRANGE(""https://docs.google.com/spreadsheets/d/11923uPwbBZFjjGgGUA6NLw09EwE0CqkOc4q9oUmW1yo/edit?usp=sharing"",""น่าน!J101"")"),0)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IFERROR(__xludf.DUMMYFUNCTION("IMPORTRANGE(""https://docs.google.com/spreadsheets/d/11923uPwbBZFjjGgGUA6NLw09EwE0CqkOc4q9oUmW1yo/edit?usp=sharing"",""น่าน!J106"")"),0)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IFERROR(__xludf.DUMMYFUNCTION("IMPORTRANGE(""https://docs.google.com/spreadsheets/d/11923uPwbBZFjjGgGUA6NLw09EwE0CqkOc4q9oUmW1yo/edit?usp=sharing"",""น่าน!J107"")"),0)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IFERROR(__xludf.DUMMYFUNCTION("IMPORTRANGE(""https://docs.google.com/spreadsheets/d/11923uPwbBZFjjGgGUA6NLw09EwE0CqkOc4q9oUmW1yo/edit?usp=sharing"",""น่าน!J108"")"),0)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IFERROR(__xludf.DUMMYFUNCTION("IMPORTRANGE(""https://docs.google.com/spreadsheets/d/11923uPwbBZFjjGgGUA6NLw09EwE0CqkOc4q9oUmW1yo/edit?usp=sharing"",""น่าน!J109"")"),0)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IFERROR(__xludf.DUMMYFUNCTION("IMPORTRANGE(""https://docs.google.com/spreadsheets/d/11923uPwbBZFjjGgGUA6NLw09EwE0CqkOc4q9oUmW1yo/edit?usp=sharing"",""น่าน!I110"")"),0)</f>
        <v>0</v>
      </c>
      <c r="J185" s="203">
        <f ca="1">IFERROR(__xludf.DUMMYFUNCTION("IMPORTRANGE(""https://docs.google.com/spreadsheets/d/11923uPwbBZFjjGgGUA6NLw09EwE0CqkOc4q9oUmW1yo/edit?usp=sharing"",""น่าน!J110"")"),0)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IFERROR(__xludf.DUMMYFUNCTION("IMPORTRANGE(""https://docs.google.com/spreadsheets/d/11923uPwbBZFjjGgGUA6NLw09EwE0CqkOc4q9oUmW1yo/edit?usp=sharing"",""น่าน!I111"")"),0)</f>
        <v>0</v>
      </c>
      <c r="J186" s="203">
        <f ca="1">IFERROR(__xludf.DUMMYFUNCTION("IMPORTRANGE(""https://docs.google.com/spreadsheets/d/11923uPwbBZFjjGgGUA6NLw09EwE0CqkOc4q9oUmW1yo/edit?usp=sharing"",""น่าน!J111"")"),0)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IFERROR(__xludf.DUMMYFUNCTION("IMPORTRANGE(""https://docs.google.com/spreadsheets/d/11923uPwbBZFjjGgGUA6NLw09EwE0CqkOc4q9oUmW1yo/edit?usp=sharing"",""น่าน!J112"")"),0)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IFERROR(__xludf.DUMMYFUNCTION("IMPORTRANGE(""https://docs.google.com/spreadsheets/d/11923uPwbBZFjjGgGUA6NLw09EwE0CqkOc4q9oUmW1yo/edit?usp=sharing"",""น่าน!J113"")"),0)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IFERROR(__xludf.DUMMYFUNCTION("IMPORTRANGE(""https://docs.google.com/spreadsheets/d/11923uPwbBZFjjGgGUA6NLw09EwE0CqkOc4q9oUmW1yo/edit?usp=sharing"",""น่าน!I114"")"),50000)</f>
        <v>50000</v>
      </c>
      <c r="J189" s="282">
        <f ca="1">IFERROR(__xludf.DUMMYFUNCTION("IMPORTRANGE(""https://docs.google.com/spreadsheets/d/11923uPwbBZFjjGgGUA6NLw09EwE0CqkOc4q9oUmW1yo/edit?usp=sharing"",""น่าน!J114"")"),0)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IFERROR(__xludf.DUMMYFUNCTION("IMPORTRANGE(""https://docs.google.com/spreadsheets/d/11923uPwbBZFjjGgGUA6NLw09EwE0CqkOc4q9oUmW1yo/edit?usp=sharing"",""น่าน!J119"")"),1)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IFERROR(__xludf.DUMMYFUNCTION("IMPORTRANGE(""https://docs.google.com/spreadsheets/d/11923uPwbBZFjjGgGUA6NLw09EwE0CqkOc4q9oUmW1yo/edit?usp=sharing"",""น่าน!J120"")"),0)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IFERROR(__xludf.DUMMYFUNCTION("IMPORTRANGE(""https://docs.google.com/spreadsheets/d/11923uPwbBZFjjGgGUA6NLw09EwE0CqkOc4q9oUmW1yo/edit?usp=sharing"",""น่าน!J121"")"),0)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IFERROR(__xludf.DUMMYFUNCTION("IMPORTRANGE(""https://docs.google.com/spreadsheets/d/11923uPwbBZFjjGgGUA6NLw09EwE0CqkOc4q9oUmW1yo/edit?usp=sharing"",""น่าน!J122"")"),0)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IFERROR(__xludf.DUMMYFUNCTION("IMPORTRANGE(""https://docs.google.com/spreadsheets/d/11923uPwbBZFjjGgGUA6NLw09EwE0CqkOc4q9oUmW1yo/edit?usp=sharing"",""น่าน!I124"")"),50000)</f>
        <v>50000</v>
      </c>
      <c r="J199" s="188">
        <f ca="1">IFERROR(__xludf.DUMMYFUNCTION("IMPORTRANGE(""https://docs.google.com/spreadsheets/d/11923uPwbBZFjjGgGUA6NLw09EwE0CqkOc4q9oUmW1yo/edit?usp=sharing"",""น่าน!J124"")"),0)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IFERROR(__xludf.DUMMYFUNCTION("IMPORTRANGE(""https://docs.google.com/spreadsheets/d/11923uPwbBZFjjGgGUA6NLw09EwE0CqkOc4q9oUmW1yo/edit?usp=sharing"",""น่าน!I125"")"),50000)</f>
        <v>50000</v>
      </c>
      <c r="J200" s="188">
        <f ca="1">IFERROR(__xludf.DUMMYFUNCTION("IMPORTRANGE(""https://docs.google.com/spreadsheets/d/11923uPwbBZFjjGgGUA6NLw09EwE0CqkOc4q9oUmW1yo/edit?usp=sharing"",""น่าน!J125"")"),0)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IFERROR(__xludf.DUMMYFUNCTION("IMPORTRANGE(""https://docs.google.com/spreadsheets/d/11923uPwbBZFjjGgGUA6NLw09EwE0CqkOc4q9oUmW1yo/edit?usp=sharing"",""น่าน!I126"")"),0)</f>
        <v>0</v>
      </c>
      <c r="J201" s="188">
        <f ca="1">IFERROR(__xludf.DUMMYFUNCTION("IMPORTRANGE(""https://docs.google.com/spreadsheets/d/11923uPwbBZFjjGgGUA6NLw09EwE0CqkOc4q9oUmW1yo/edit?usp=sharing"",""น่าน!J126"")"),0)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IFERROR(__xludf.DUMMYFUNCTION("IMPORTRANGE(""https://docs.google.com/spreadsheets/d/11923uPwbBZFjjGgGUA6NLw09EwE0CqkOc4q9oUmW1yo/edit?usp=sharing"",""น่าน!J127"")"),0)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IFERROR(__xludf.DUMMYFUNCTION("IMPORTRANGE(""https://docs.google.com/spreadsheets/d/11923uPwbBZFjjGgGUA6NLw09EwE0CqkOc4q9oUmW1yo/edit?usp=sharing"",""น่าน!J128"")"),0)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IFERROR(__xludf.DUMMYFUNCTION("IMPORTRANGE(""https://docs.google.com/spreadsheets/d/11923uPwbBZFjjGgGUA6NLw09EwE0CqkOc4q9oUmW1yo/edit?usp=sharing"",""น่าน!I129"")"),90)</f>
        <v>90</v>
      </c>
      <c r="J204" s="282">
        <f ca="1">IFERROR(__xludf.DUMMYFUNCTION("IMPORTRANGE(""https://docs.google.com/spreadsheets/d/11923uPwbBZFjjGgGUA6NLw09EwE0CqkOc4q9oUmW1yo/edit?usp=sharing"",""น่าน!J129"")"),90)</f>
        <v>90</v>
      </c>
      <c r="K204" s="283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IFERROR(__xludf.DUMMYFUNCTION("IMPORTRANGE(""https://docs.google.com/spreadsheets/d/11923uPwbBZFjjGgGUA6NLw09EwE0CqkOc4q9oUmW1yo/edit?usp=sharing"",""น่าน!J134"")"),0)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IFERROR(__xludf.DUMMYFUNCTION("IMPORTRANGE(""https://docs.google.com/spreadsheets/d/11923uPwbBZFjjGgGUA6NLw09EwE0CqkOc4q9oUmW1yo/edit?usp=sharing"",""น่าน!J135"")"),1)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IFERROR(__xludf.DUMMYFUNCTION("IMPORTRANGE(""https://docs.google.com/spreadsheets/d/11923uPwbBZFjjGgGUA6NLw09EwE0CqkOc4q9oUmW1yo/edit?usp=sharing"",""น่าน!J136"")"),1)</f>
        <v>1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IFERROR(__xludf.DUMMYFUNCTION("IMPORTRANGE(""https://docs.google.com/spreadsheets/d/11923uPwbBZFjjGgGUA6NLw09EwE0CqkOc4q9oUmW1yo/edit?usp=sharing"",""น่าน!J137"")"),1)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IFERROR(__xludf.DUMMYFUNCTION("IMPORTRANGE(""https://docs.google.com/spreadsheets/d/11923uPwbBZFjjGgGUA6NLw09EwE0CqkOc4q9oUmW1yo/edit?usp=sharing"",""น่าน!I138"")"),90)</f>
        <v>90</v>
      </c>
      <c r="J213" s="203">
        <f ca="1">IFERROR(__xludf.DUMMYFUNCTION("IMPORTRANGE(""https://docs.google.com/spreadsheets/d/11923uPwbBZFjjGgGUA6NLw09EwE0CqkOc4q9oUmW1yo/edit?usp=sharing"",""น่าน!J138"")"),90)</f>
        <v>90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IFERROR(__xludf.DUMMYFUNCTION("IMPORTRANGE(""https://docs.google.com/spreadsheets/d/11923uPwbBZFjjGgGUA6NLw09EwE0CqkOc4q9oUmW1yo/edit?usp=sharing"",""น่าน!I140"")"),90)</f>
        <v>90</v>
      </c>
      <c r="J215" s="203">
        <f ca="1">IFERROR(__xludf.DUMMYFUNCTION("IMPORTRANGE(""https://docs.google.com/spreadsheets/d/11923uPwbBZFjjGgGUA6NLw09EwE0CqkOc4q9oUmW1yo/edit?usp=sharing"",""น่าน!J140"")"),0)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IFERROR(__xludf.DUMMYFUNCTION("IMPORTRANGE(""https://docs.google.com/spreadsheets/d/11923uPwbBZFjjGgGUA6NLw09EwE0CqkOc4q9oUmW1yo/edit?usp=sharing"",""น่าน!I141"")"),4)</f>
        <v>4</v>
      </c>
      <c r="J216" s="203">
        <f ca="1">IFERROR(__xludf.DUMMYFUNCTION("IMPORTRANGE(""https://docs.google.com/spreadsheets/d/11923uPwbBZFjjGgGUA6NLw09EwE0CqkOc4q9oUmW1yo/edit?usp=sharing"",""น่าน!J141"")"),0)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IFERROR(__xludf.DUMMYFUNCTION("IMPORTRANGE(""https://docs.google.com/spreadsheets/d/11923uPwbBZFjjGgGUA6NLw09EwE0CqkOc4q9oUmW1yo/edit?usp=sharing"",""น่าน!J142"")"),0)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IFERROR(__xludf.DUMMYFUNCTION("IMPORTRANGE(""https://docs.google.com/spreadsheets/d/11923uPwbBZFjjGgGUA6NLw09EwE0CqkOc4q9oUmW1yo/edit?usp=sharing"",""น่าน!J143"")"),0)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IFERROR(__xludf.DUMMYFUNCTION("IMPORTRANGE(""https://docs.google.com/spreadsheets/d/11923uPwbBZFjjGgGUA6NLw09EwE0CqkOc4q9oUmW1yo/edit?usp=sharing"",""น่าน!I144"")"),15)</f>
        <v>15</v>
      </c>
      <c r="J219" s="266">
        <f ca="1">IFERROR(__xludf.DUMMYFUNCTION("IMPORTRANGE(""https://docs.google.com/spreadsheets/d/11923uPwbBZFjjGgGUA6NLw09EwE0CqkOc4q9oUmW1yo/edit?usp=sharing"",""น่าน!J144"")"),15)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19076</v>
      </c>
      <c r="O220" s="150">
        <f t="shared" ref="O220:O222" ca="1" si="73">IF(L220&gt;0,N220*100/L220,0)</f>
        <v>90.300591715976324</v>
      </c>
      <c r="P220" s="150">
        <f t="shared" ref="P220:P222" ca="1" si="74">IF(M220&gt;0,N220*100/M220,0)</f>
        <v>90.300591715976324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19076</v>
      </c>
      <c r="O222" s="155">
        <f t="shared" ca="1" si="73"/>
        <v>90.300591715976324</v>
      </c>
      <c r="P222" s="155">
        <f t="shared" ca="1" si="74"/>
        <v>90.300591715976324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IFERROR(__xludf.DUMMYFUNCTION("IMPORTRANGE(""https://docs.google.com/spreadsheets/d/1Yj_ptqi66GCucihVvJfMjLAmec39IyEx_6qawtMGysU/edit?usp=sharing"",""สบก!BS25"")"),21125)</f>
        <v>21125</v>
      </c>
      <c r="N224" s="168">
        <f ca="1">IFERROR(__xludf.DUMMYFUNCTION("IMPORTRANGE(""https://docs.google.com/spreadsheets/d/1Yj_ptqi66GCucihVvJfMjLAmec39IyEx_6qawtMGysU/edit?usp=sharing"",""สบก!BT25"")"),19076)</f>
        <v>19076</v>
      </c>
      <c r="O224" s="168">
        <f ca="1">IF(L224&gt;0,N224*100/L224,0)</f>
        <v>90.300591715976324</v>
      </c>
      <c r="P224" s="168">
        <f ca="1">IF(M224&gt;0,N224*100/M224,0)</f>
        <v>90.300591715976324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IFERROR(__xludf.DUMMYFUNCTION("IMPORTRANGE(""https://docs.google.com/spreadsheets/d/1Yj_ptqi66GCucihVvJfMjLAmec39IyEx_6qawtMGysU/edit?usp=sharing"",""สบก!BO25"")"),0)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IFERROR(__xludf.DUMMYFUNCTION("IMPORTRANGE(""https://docs.google.com/spreadsheets/d/1Yj_ptqi66GCucihVvJfMjLAmec39IyEx_6qawtMGysU/edit?usp=sharing"",""สบก!BP25"")"),21125)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IFERROR(__xludf.DUMMYFUNCTION("IMPORTRANGE(""https://docs.google.com/spreadsheets/d/1Yj_ptqi66GCucihVvJfMjLAmec39IyEx_6qawtMGysU/edit?usp=sharing"",""สบก!BQ25"")"),0)</f>
        <v>0</v>
      </c>
      <c r="M228" s="49"/>
      <c r="N228" s="49">
        <f ca="1">IFERROR(__xludf.DUMMYFUNCTION("IMPORTRANGE(""https://docs.google.com/spreadsheets/d/1Yj_ptqi66GCucihVvJfMjLAmec39IyEx_6qawtMGysU/edit?usp=sharing"",""สบก!BU25"")"),0)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IFERROR(__xludf.DUMMYFUNCTION("IMPORTRANGE(""https://docs.google.com/spreadsheets/d/11923uPwbBZFjjGgGUA6NLw09EwE0CqkOc4q9oUmW1yo/edit?usp=sharing"",""น่าน!I149"")"),15)</f>
        <v>15</v>
      </c>
      <c r="J229" s="266">
        <f ca="1">IFERROR(__xludf.DUMMYFUNCTION("IMPORTRANGE(""https://docs.google.com/spreadsheets/d/11923uPwbBZFjjGgGUA6NLw09EwE0CqkOc4q9oUmW1yo/edit?usp=sharing"",""น่าน!J149"")"),15)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IFERROR(__xludf.DUMMYFUNCTION("IMPORTRANGE(""https://docs.google.com/spreadsheets/d/11923uPwbBZFjjGgGUA6NLw09EwE0CqkOc4q9oUmW1yo/edit?usp=sharing"",""น่าน!J151"")"),0)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IFERROR(__xludf.DUMMYFUNCTION("IMPORTRANGE(""https://docs.google.com/spreadsheets/d/11923uPwbBZFjjGgGUA6NLw09EwE0CqkOc4q9oUmW1yo/edit?usp=sharing"",""น่าน!J152"")"),1)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IFERROR(__xludf.DUMMYFUNCTION("IMPORTRANGE(""https://docs.google.com/spreadsheets/d/11923uPwbBZFjjGgGUA6NLw09EwE0CqkOc4q9oUmW1yo/edit?usp=sharing"",""น่าน!J153"")"),1)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IFERROR(__xludf.DUMMYFUNCTION("IMPORTRANGE(""https://docs.google.com/spreadsheets/d/11923uPwbBZFjjGgGUA6NLw09EwE0CqkOc4q9oUmW1yo/edit?usp=sharing"",""น่าน!J154"")"),1)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IFERROR(__xludf.DUMMYFUNCTION("IMPORTRANGE(""https://docs.google.com/spreadsheets/d/11923uPwbBZFjjGgGUA6NLw09EwE0CqkOc4q9oUmW1yo/edit?usp=sharing"",""น่าน!I155"")"),15)</f>
        <v>15</v>
      </c>
      <c r="J235" s="188">
        <f ca="1">IFERROR(__xludf.DUMMYFUNCTION("IMPORTRANGE(""https://docs.google.com/spreadsheets/d/11923uPwbBZFjjGgGUA6NLw09EwE0CqkOc4q9oUmW1yo/edit?usp=sharing"",""น่าน!J155"")"),15)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IFERROR(__xludf.DUMMYFUNCTION("IMPORTRANGE(""https://docs.google.com/spreadsheets/d/11923uPwbBZFjjGgGUA6NLw09EwE0CqkOc4q9oUmW1yo/edit?usp=sharing"",""น่าน!J156"")"),1)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IFERROR(__xludf.DUMMYFUNCTION("IMPORTRANGE(""https://docs.google.com/spreadsheets/d/11923uPwbBZFjjGgGUA6NLw09EwE0CqkOc4q9oUmW1yo/edit?usp=sharing"",""น่าน!J157"")"),0)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IFERROR(__xludf.DUMMYFUNCTION("IMPORTRANGE(""https://docs.google.com/spreadsheets/d/11923uPwbBZFjjGgGUA6NLw09EwE0CqkOc4q9oUmW1yo/edit?usp=sharing"",""น่าน!I158"")"),0)</f>
        <v>0</v>
      </c>
      <c r="J238" s="266">
        <f ca="1">IFERROR(__xludf.DUMMYFUNCTION("IMPORTRANGE(""https://docs.google.com/spreadsheets/d/11923uPwbBZFjjGgGUA6NLw09EwE0CqkOc4q9oUmW1yo/edit?usp=sharing"",""น่าน!J158"")"),0)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IFERROR(__xludf.DUMMYFUNCTION("IMPORTRANGE(""https://docs.google.com/spreadsheets/d/11923uPwbBZFjjGgGUA6NLw09EwE0CqkOc4q9oUmW1yo/edit?usp=sharing"",""น่าน!J159"")"),"")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IFERROR(__xludf.DUMMYFUNCTION("IMPORTRANGE(""https://docs.google.com/spreadsheets/d/11923uPwbBZFjjGgGUA6NLw09EwE0CqkOc4q9oUmW1yo/edit?usp=sharing"",""น่าน!J161"")"),0)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IFERROR(__xludf.DUMMYFUNCTION("IMPORTRANGE(""https://docs.google.com/spreadsheets/d/11923uPwbBZFjjGgGUA6NLw09EwE0CqkOc4q9oUmW1yo/edit?usp=sharing"",""น่าน!J162"")"),0)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IFERROR(__xludf.DUMMYFUNCTION("IMPORTRANGE(""https://docs.google.com/spreadsheets/d/11923uPwbBZFjjGgGUA6NLw09EwE0CqkOc4q9oUmW1yo/edit?usp=sharing"",""น่าน!J163"")"),0)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IFERROR(__xludf.DUMMYFUNCTION("IMPORTRANGE(""https://docs.google.com/spreadsheets/d/11923uPwbBZFjjGgGUA6NLw09EwE0CqkOc4q9oUmW1yo/edit?usp=sharing"",""น่าน!I164"")"),0)</f>
        <v>0</v>
      </c>
      <c r="J244" s="187">
        <f ca="1">IFERROR(__xludf.DUMMYFUNCTION("IMPORTRANGE(""https://docs.google.com/spreadsheets/d/11923uPwbBZFjjGgGUA6NLw09EwE0CqkOc4q9oUmW1yo/edit?usp=sharing"",""น่าน!J164"")"),0)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IFERROR(__xludf.DUMMYFUNCTION("IMPORTRANGE(""https://docs.google.com/spreadsheets/d/11923uPwbBZFjjGgGUA6NLw09EwE0CqkOc4q9oUmW1yo/edit?usp=sharing"",""น่าน!J165"")"),0)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IFERROR(__xludf.DUMMYFUNCTION("IMPORTRANGE(""https://docs.google.com/spreadsheets/d/11923uPwbBZFjjGgGUA6NLw09EwE0CqkOc4q9oUmW1yo/edit?usp=sharing"",""น่าน!J166"")"),0)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IFERROR(__xludf.DUMMYFUNCTION("IMPORTRANGE(""https://docs.google.com/spreadsheets/d/11923uPwbBZFjjGgGUA6NLw09EwE0CqkOc4q9oUmW1yo/edit?usp=sharing"",""น่าน!I169"")"),0)</f>
        <v>0</v>
      </c>
      <c r="J249" s="314">
        <f ca="1">IFERROR(__xludf.DUMMYFUNCTION("IMPORTRANGE(""https://docs.google.com/spreadsheets/d/11923uPwbBZFjjGgGUA6NLw09EwE0CqkOc4q9oUmW1yo/edit?usp=sharing"",""น่าน!J169"")"),0)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IFERROR(__xludf.DUMMYFUNCTION("IMPORTRANGE(""https://docs.google.com/spreadsheets/d/1Yj_ptqi66GCucihVvJfMjLAmec39IyEx_6qawtMGysU/edit?usp=sharing"",""สบก!CB25"")"),0)</f>
        <v>0</v>
      </c>
      <c r="N254" s="168">
        <f ca="1">IFERROR(__xludf.DUMMYFUNCTION("IMPORTRANGE(""https://docs.google.com/spreadsheets/d/1Yj_ptqi66GCucihVvJfMjLAmec39IyEx_6qawtMGysU/edit?usp=sharing"",""สบก!CC25"")"),0)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IFERROR(__xludf.DUMMYFUNCTION("IMPORTRANGE(""https://docs.google.com/spreadsheets/d/1Yj_ptqi66GCucihVvJfMjLAmec39IyEx_6qawtMGysU/edit?usp=sharing"",""สบก!BX25"")"),0)</f>
        <v>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IFERROR(__xludf.DUMMYFUNCTION("IMPORTRANGE(""https://docs.google.com/spreadsheets/d/1Yj_ptqi66GCucihVvJfMjLAmec39IyEx_6qawtMGysU/edit?usp=sharing"",""สบก!BY25"")"),0)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IFERROR(__xludf.DUMMYFUNCTION("IMPORTRANGE(""https://docs.google.com/spreadsheets/d/1Yj_ptqi66GCucihVvJfMjLAmec39IyEx_6qawtMGysU/edit?usp=sharing"",""สบก!BZ25"")"),0)</f>
        <v>0</v>
      </c>
      <c r="M258" s="49"/>
      <c r="N258" s="49">
        <f ca="1">IFERROR(__xludf.DUMMYFUNCTION("IMPORTRANGE(""https://docs.google.com/spreadsheets/d/1Yj_ptqi66GCucihVvJfMjLAmec39IyEx_6qawtMGysU/edit?usp=sharing"",""สบก!CD25"")"),0)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IFERROR(__xludf.DUMMYFUNCTION("IMPORTRANGE(""https://docs.google.com/spreadsheets/d/11923uPwbBZFjjGgGUA6NLw09EwE0CqkOc4q9oUmW1yo/edit?usp=sharing"",""น่าน!J175"")"),0)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IFERROR(__xludf.DUMMYFUNCTION("IMPORTRANGE(""https://docs.google.com/spreadsheets/d/11923uPwbBZFjjGgGUA6NLw09EwE0CqkOc4q9oUmW1yo/edit?usp=sharing"",""น่าน!J176"")"),0)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IFERROR(__xludf.DUMMYFUNCTION("IMPORTRANGE(""https://docs.google.com/spreadsheets/d/11923uPwbBZFjjGgGUA6NLw09EwE0CqkOc4q9oUmW1yo/edit?usp=sharing"",""น่าน!J177"")"),0)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IFERROR(__xludf.DUMMYFUNCTION("IMPORTRANGE(""https://docs.google.com/spreadsheets/d/11923uPwbBZFjjGgGUA6NLw09EwE0CqkOc4q9oUmW1yo/edit?usp=sharing"",""น่าน!J178"")"),0)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IFERROR(__xludf.DUMMYFUNCTION("IMPORTRANGE(""https://docs.google.com/spreadsheets/d/11923uPwbBZFjjGgGUA6NLw09EwE0CqkOc4q9oUmW1yo/edit?usp=sharing"",""น่าน!I179"")"),0)</f>
        <v>0</v>
      </c>
      <c r="J264" s="188">
        <f ca="1">IFERROR(__xludf.DUMMYFUNCTION("IMPORTRANGE(""https://docs.google.com/spreadsheets/d/11923uPwbBZFjjGgGUA6NLw09EwE0CqkOc4q9oUmW1yo/edit?usp=sharing"",""น่าน!J179"")"),0)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IFERROR(__xludf.DUMMYFUNCTION("IMPORTRANGE(""https://docs.google.com/spreadsheets/d/11923uPwbBZFjjGgGUA6NLw09EwE0CqkOc4q9oUmW1yo/edit?usp=sharing"",""น่าน!I180"")"),0)</f>
        <v>0</v>
      </c>
      <c r="J265" s="188">
        <f ca="1">IFERROR(__xludf.DUMMYFUNCTION("IMPORTRANGE(""https://docs.google.com/spreadsheets/d/11923uPwbBZFjjGgGUA6NLw09EwE0CqkOc4q9oUmW1yo/edit?usp=sharing"",""น่าน!J180"")"),0)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IFERROR(__xludf.DUMMYFUNCTION("IMPORTRANGE(""https://docs.google.com/spreadsheets/d/11923uPwbBZFjjGgGUA6NLw09EwE0CqkOc4q9oUmW1yo/edit?usp=sharing"",""น่าน!I181"")"),0)</f>
        <v>0</v>
      </c>
      <c r="J266" s="188">
        <f ca="1">IFERROR(__xludf.DUMMYFUNCTION("IMPORTRANGE(""https://docs.google.com/spreadsheets/d/11923uPwbBZFjjGgGUA6NLw09EwE0CqkOc4q9oUmW1yo/edit?usp=sharing"",""น่าน!J181"")"),0)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IFERROR(__xludf.DUMMYFUNCTION("IMPORTRANGE(""https://docs.google.com/spreadsheets/d/11923uPwbBZFjjGgGUA6NLw09EwE0CqkOc4q9oUmW1yo/edit?usp=sharing"",""น่าน!I182"")"),0)</f>
        <v>0</v>
      </c>
      <c r="J267" s="188">
        <f ca="1">IFERROR(__xludf.DUMMYFUNCTION("IMPORTRANGE(""https://docs.google.com/spreadsheets/d/11923uPwbBZFjjGgGUA6NLw09EwE0CqkOc4q9oUmW1yo/edit?usp=sharing"",""น่าน!J182"")"),0)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IFERROR(__xludf.DUMMYFUNCTION("IMPORTRANGE(""https://docs.google.com/spreadsheets/d/11923uPwbBZFjjGgGUA6NLw09EwE0CqkOc4q9oUmW1yo/edit?usp=sharing"",""น่าน!J183"")"),0)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IFERROR(__xludf.DUMMYFUNCTION("IMPORTRANGE(""https://docs.google.com/spreadsheets/d/11923uPwbBZFjjGgGUA6NLw09EwE0CqkOc4q9oUmW1yo/edit?usp=sharing"",""น่าน!J184"")"),0)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IFERROR(__xludf.DUMMYFUNCTION("IMPORTRANGE(""https://docs.google.com/spreadsheets/d/11923uPwbBZFjjGgGUA6NLw09EwE0CqkOc4q9oUmW1yo/edit?usp=sharing"",""น่าน!I185"")"),15)</f>
        <v>15</v>
      </c>
      <c r="J270" s="314">
        <f ca="1">IFERROR(__xludf.DUMMYFUNCTION("IMPORTRANGE(""https://docs.google.com/spreadsheets/d/11923uPwbBZFjjGgGUA6NLw09EwE0CqkOc4q9oUmW1yo/edit?usp=sharing"",""น่าน!J185"")"),15)</f>
        <v>15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55200</v>
      </c>
      <c r="M271" s="151">
        <f t="shared" ca="1" si="83"/>
        <v>32250</v>
      </c>
      <c r="N271" s="151">
        <f t="shared" ca="1" si="83"/>
        <v>31430</v>
      </c>
      <c r="O271" s="150">
        <f t="shared" ref="O271:O273" ca="1" si="84">IF(L271&gt;0,N271*100/L271,0)</f>
        <v>56.938405797101453</v>
      </c>
      <c r="P271" s="150">
        <f t="shared" ref="P271:P273" ca="1" si="85">IF(M271&gt;0,N271*100/M271,0)</f>
        <v>97.457364341085267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55200</v>
      </c>
      <c r="M273" s="87">
        <f t="shared" ca="1" si="87"/>
        <v>32250</v>
      </c>
      <c r="N273" s="87">
        <f t="shared" ca="1" si="87"/>
        <v>31430</v>
      </c>
      <c r="O273" s="155">
        <f t="shared" ca="1" si="84"/>
        <v>56.938405797101453</v>
      </c>
      <c r="P273" s="155">
        <f t="shared" ca="1" si="85"/>
        <v>97.457364341085267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IFERROR(__xludf.DUMMYFUNCTION("IMPORTRANGE(""https://docs.google.com/spreadsheets/d/1Yj_ptqi66GCucihVvJfMjLAmec39IyEx_6qawtMGysU/edit?usp=sharing"",""สบก!CK25"")"),32250)</f>
        <v>32250</v>
      </c>
      <c r="N275" s="168">
        <f ca="1">IFERROR(__xludf.DUMMYFUNCTION("IMPORTRANGE(""https://docs.google.com/spreadsheets/d/1Yj_ptqi66GCucihVvJfMjLAmec39IyEx_6qawtMGysU/edit?usp=sharing"",""สบก!CL25"")"),31430)</f>
        <v>31430</v>
      </c>
      <c r="O275" s="168">
        <f ca="1">IF(L275&gt;0,N275*100/L275,0)</f>
        <v>56.938405797101453</v>
      </c>
      <c r="P275" s="168">
        <f ca="1">IF(M275&gt;0,N275*100/M275,0)</f>
        <v>97.457364341085267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IFERROR(__xludf.DUMMYFUNCTION("IMPORTRANGE(""https://docs.google.com/spreadsheets/d/1Yj_ptqi66GCucihVvJfMjLAmec39IyEx_6qawtMGysU/edit?usp=sharing"",""สบก!CG25"")"),0)</f>
        <v>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IFERROR(__xludf.DUMMYFUNCTION("IMPORTRANGE(""https://docs.google.com/spreadsheets/d/1Yj_ptqi66GCucihVvJfMjLAmec39IyEx_6qawtMGysU/edit?usp=sharing"",""สบก!CH25"")"),55200)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IFERROR(__xludf.DUMMYFUNCTION("IMPORTRANGE(""https://docs.google.com/spreadsheets/d/1Yj_ptqi66GCucihVvJfMjLAmec39IyEx_6qawtMGysU/edit?usp=sharing"",""สบก!CI25"")"),0)</f>
        <v>0</v>
      </c>
      <c r="M279" s="49"/>
      <c r="N279" s="49">
        <f ca="1">IFERROR(__xludf.DUMMYFUNCTION("IMPORTRANGE(""https://docs.google.com/spreadsheets/d/1Yj_ptqi66GCucihVvJfMjLAmec39IyEx_6qawtMGysU/edit?usp=sharing"",""สบก!CM25"")"),0)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IFERROR(__xludf.DUMMYFUNCTION("IMPORTRANGE(""https://docs.google.com/spreadsheets/d/11923uPwbBZFjjGgGUA6NLw09EwE0CqkOc4q9oUmW1yo/edit?usp=sharing"",""น่าน!J191"")"),0)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IFERROR(__xludf.DUMMYFUNCTION("IMPORTRANGE(""https://docs.google.com/spreadsheets/d/11923uPwbBZFjjGgGUA6NLw09EwE0CqkOc4q9oUmW1yo/edit?usp=sharing"",""น่าน!J192"")"),1)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IFERROR(__xludf.DUMMYFUNCTION("IMPORTRANGE(""https://docs.google.com/spreadsheets/d/11923uPwbBZFjjGgGUA6NLw09EwE0CqkOc4q9oUmW1yo/edit?usp=sharing"",""น่าน!J193"")"),1)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IFERROR(__xludf.DUMMYFUNCTION("IMPORTRANGE(""https://docs.google.com/spreadsheets/d/11923uPwbBZFjjGgGUA6NLw09EwE0CqkOc4q9oUmW1yo/edit?usp=sharing"",""น่าน!J194"")"),1)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IFERROR(__xludf.DUMMYFUNCTION("IMPORTRANGE(""https://docs.google.com/spreadsheets/d/11923uPwbBZFjjGgGUA6NLw09EwE0CqkOc4q9oUmW1yo/edit?usp=sharing"",""น่าน!I195"")"),15)</f>
        <v>15</v>
      </c>
      <c r="J285" s="188">
        <f ca="1">IFERROR(__xludf.DUMMYFUNCTION("IMPORTRANGE(""https://docs.google.com/spreadsheets/d/11923uPwbBZFjjGgGUA6NLw09EwE0CqkOc4q9oUmW1yo/edit?usp=sharing"",""น่าน!J195"")"),15)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IFERROR(__xludf.DUMMYFUNCTION("IMPORTRANGE(""https://docs.google.com/spreadsheets/d/11923uPwbBZFjjGgGUA6NLw09EwE0CqkOc4q9oUmW1yo/edit?usp=sharing"",""น่าน!J196"")"),0)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IFERROR(__xludf.DUMMYFUNCTION("IMPORTRANGE(""https://docs.google.com/spreadsheets/d/11923uPwbBZFjjGgGUA6NLw09EwE0CqkOc4q9oUmW1yo/edit?usp=sharing"",""น่าน!J197"")"),0)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IFERROR(__xludf.DUMMYFUNCTION("IMPORTRANGE(""https://docs.google.com/spreadsheets/d/11923uPwbBZFjjGgGUA6NLw09EwE0CqkOc4q9oUmW1yo/edit?usp=sharing"",""น่าน!I199"")"),0)</f>
        <v>0</v>
      </c>
      <c r="J289" s="314">
        <f ca="1">IFERROR(__xludf.DUMMYFUNCTION("IMPORTRANGE(""https://docs.google.com/spreadsheets/d/11923uPwbBZFjjGgGUA6NLw09EwE0CqkOc4q9oUmW1yo/edit?usp=sharing"",""น่าน!J199"")"),0)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IFERROR(__xludf.DUMMYFUNCTION("IMPORTRANGE(""https://docs.google.com/spreadsheets/d/1Yj_ptqi66GCucihVvJfMjLAmec39IyEx_6qawtMGysU/edit?usp=sharing"",""สบก!CT25"")"),0)</f>
        <v>0</v>
      </c>
      <c r="N294" s="168">
        <f ca="1">IFERROR(__xludf.DUMMYFUNCTION("IMPORTRANGE(""https://docs.google.com/spreadsheets/d/1Yj_ptqi66GCucihVvJfMjLAmec39IyEx_6qawtMGysU/edit?usp=sharing"",""สบก!CU25"")"),0)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IFERROR(__xludf.DUMMYFUNCTION("IMPORTRANGE(""https://docs.google.com/spreadsheets/d/1Yj_ptqi66GCucihVvJfMjLAmec39IyEx_6qawtMGysU/edit?usp=sharing"",""สบก!CP25"")"),0)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IFERROR(__xludf.DUMMYFUNCTION("IMPORTRANGE(""https://docs.google.com/spreadsheets/d/1Yj_ptqi66GCucihVvJfMjLAmec39IyEx_6qawtMGysU/edit?usp=sharing"",""สบก!CQ25"")"),0)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IFERROR(__xludf.DUMMYFUNCTION("IMPORTRANGE(""https://docs.google.com/spreadsheets/d/1Yj_ptqi66GCucihVvJfMjLAmec39IyEx_6qawtMGysU/edit?usp=sharing"",""สบก!CR25"")"),0)</f>
        <v>0</v>
      </c>
      <c r="M298" s="49"/>
      <c r="N298" s="49">
        <f ca="1">IFERROR(__xludf.DUMMYFUNCTION("IMPORTRANGE(""https://docs.google.com/spreadsheets/d/1Yj_ptqi66GCucihVvJfMjLAmec39IyEx_6qawtMGysU/edit?usp=sharing"",""สบก!CV25"")"),0)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IFERROR(__xludf.DUMMYFUNCTION("IMPORTRANGE(""https://docs.google.com/spreadsheets/d/11923uPwbBZFjjGgGUA6NLw09EwE0CqkOc4q9oUmW1yo/edit?usp=sharing"",""น่าน!J205"")"),0)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IFERROR(__xludf.DUMMYFUNCTION("IMPORTRANGE(""https://docs.google.com/spreadsheets/d/11923uPwbBZFjjGgGUA6NLw09EwE0CqkOc4q9oUmW1yo/edit?usp=sharing"",""น่าน!J206"")"),0)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IFERROR(__xludf.DUMMYFUNCTION("IMPORTRANGE(""https://docs.google.com/spreadsheets/d/11923uPwbBZFjjGgGUA6NLw09EwE0CqkOc4q9oUmW1yo/edit?usp=sharing"",""น่าน!J207"")"),0)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IFERROR(__xludf.DUMMYFUNCTION("IMPORTRANGE(""https://docs.google.com/spreadsheets/d/11923uPwbBZFjjGgGUA6NLw09EwE0CqkOc4q9oUmW1yo/edit?usp=sharing"",""น่าน!J208"")"),0)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IFERROR(__xludf.DUMMYFUNCTION("IMPORTRANGE(""https://docs.google.com/spreadsheets/d/11923uPwbBZFjjGgGUA6NLw09EwE0CqkOc4q9oUmW1yo/edit?usp=sharing"",""น่าน!I209"")"),0)</f>
        <v>0</v>
      </c>
      <c r="J304" s="203">
        <f ca="1">IFERROR(__xludf.DUMMYFUNCTION("IMPORTRANGE(""https://docs.google.com/spreadsheets/d/11923uPwbBZFjjGgGUA6NLw09EwE0CqkOc4q9oUmW1yo/edit?usp=sharing"",""น่าน!J209"")"),0)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IFERROR(__xludf.DUMMYFUNCTION("IMPORTRANGE(""https://docs.google.com/spreadsheets/d/11923uPwbBZFjjGgGUA6NLw09EwE0CqkOc4q9oUmW1yo/edit?usp=sharing"",""น่าน!I211"")"),0)</f>
        <v>0</v>
      </c>
      <c r="J306" s="203">
        <f ca="1">IFERROR(__xludf.DUMMYFUNCTION("IMPORTRANGE(""https://docs.google.com/spreadsheets/d/11923uPwbBZFjjGgGUA6NLw09EwE0CqkOc4q9oUmW1yo/edit?usp=sharing"",""น่าน!J211"")"),0)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IFERROR(__xludf.DUMMYFUNCTION("IMPORTRANGE(""https://docs.google.com/spreadsheets/d/11923uPwbBZFjjGgGUA6NLw09EwE0CqkOc4q9oUmW1yo/edit?usp=sharing"",""น่าน!J212"")"),0)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IFERROR(__xludf.DUMMYFUNCTION("IMPORTRANGE(""https://docs.google.com/spreadsheets/d/11923uPwbBZFjjGgGUA6NLw09EwE0CqkOc4q9oUmW1yo/edit?usp=sharing"",""น่าน!J213"")"),0)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IFERROR(__xludf.DUMMYFUNCTION("IMPORTRANGE(""https://docs.google.com/spreadsheets/d/11923uPwbBZFjjGgGUA6NLw09EwE0CqkOc4q9oUmW1yo/edit?usp=sharing"",""น่าน!I214"")"),0)</f>
        <v>0</v>
      </c>
      <c r="J309" s="331">
        <f ca="1">IFERROR(__xludf.DUMMYFUNCTION("IMPORTRANGE(""https://docs.google.com/spreadsheets/d/11923uPwbBZFjjGgGUA6NLw09EwE0CqkOc4q9oUmW1yo/edit?usp=sharing"",""น่าน!J214"")"),0)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IFERROR(__xludf.DUMMYFUNCTION("IMPORTRANGE(""https://docs.google.com/spreadsheets/d/1Yj_ptqi66GCucihVvJfMjLAmec39IyEx_6qawtMGysU/edit?usp=sharing"",""สบก!DC25"")"),0)</f>
        <v>0</v>
      </c>
      <c r="N314" s="168">
        <f ca="1">IFERROR(__xludf.DUMMYFUNCTION("IMPORTRANGE(""https://docs.google.com/spreadsheets/d/1Yj_ptqi66GCucihVvJfMjLAmec39IyEx_6qawtMGysU/edit?usp=sharing"",""สบก!DD25"")"),0)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IFERROR(__xludf.DUMMYFUNCTION("IMPORTRANGE(""https://docs.google.com/spreadsheets/d/1Yj_ptqi66GCucihVvJfMjLAmec39IyEx_6qawtMGysU/edit?usp=sharing"",""สบก!CY25"")"),0)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IFERROR(__xludf.DUMMYFUNCTION("IMPORTRANGE(""https://docs.google.com/spreadsheets/d/1Yj_ptqi66GCucihVvJfMjLAmec39IyEx_6qawtMGysU/edit?usp=sharing"",""สบก!CZ25"")"),0)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IFERROR(__xludf.DUMMYFUNCTION("IMPORTRANGE(""https://docs.google.com/spreadsheets/d/1Yj_ptqi66GCucihVvJfMjLAmec39IyEx_6qawtMGysU/edit?usp=sharing"",""สบก!DA25"")"),0)</f>
        <v>0</v>
      </c>
      <c r="M318" s="49"/>
      <c r="N318" s="49">
        <f ca="1">IFERROR(__xludf.DUMMYFUNCTION("IMPORTRANGE(""https://docs.google.com/spreadsheets/d/1Yj_ptqi66GCucihVvJfMjLAmec39IyEx_6qawtMGysU/edit?usp=sharing"",""สบก!DE25"")"),0)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IFERROR(__xludf.DUMMYFUNCTION("IMPORTRANGE(""https://docs.google.com/spreadsheets/d/11923uPwbBZFjjGgGUA6NLw09EwE0CqkOc4q9oUmW1yo/edit?usp=sharing"",""น่าน!J220"")"),0)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IFERROR(__xludf.DUMMYFUNCTION("IMPORTRANGE(""https://docs.google.com/spreadsheets/d/11923uPwbBZFjjGgGUA6NLw09EwE0CqkOc4q9oUmW1yo/edit?usp=sharing"",""น่าน!J221"")"),0)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IFERROR(__xludf.DUMMYFUNCTION("IMPORTRANGE(""https://docs.google.com/spreadsheets/d/11923uPwbBZFjjGgGUA6NLw09EwE0CqkOc4q9oUmW1yo/edit?usp=sharing"",""น่าน!J222"")"),0)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IFERROR(__xludf.DUMMYFUNCTION("IMPORTRANGE(""https://docs.google.com/spreadsheets/d/11923uPwbBZFjjGgGUA6NLw09EwE0CqkOc4q9oUmW1yo/edit?usp=sharing"",""น่าน!J223"")"),0)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IFERROR(__xludf.DUMMYFUNCTION("IMPORTRANGE(""https://docs.google.com/spreadsheets/d/11923uPwbBZFjjGgGUA6NLw09EwE0CqkOc4q9oUmW1yo/edit?usp=sharing"",""น่าน!I224"")"),0)</f>
        <v>0</v>
      </c>
      <c r="J324" s="203">
        <f ca="1">IFERROR(__xludf.DUMMYFUNCTION("IMPORTRANGE(""https://docs.google.com/spreadsheets/d/11923uPwbBZFjjGgGUA6NLw09EwE0CqkOc4q9oUmW1yo/edit?usp=sharing"",""น่าน!J224"")"),0)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IFERROR(__xludf.DUMMYFUNCTION("IMPORTRANGE(""https://docs.google.com/spreadsheets/d/11923uPwbBZFjjGgGUA6NLw09EwE0CqkOc4q9oUmW1yo/edit?usp=sharing"",""น่าน!J225"")"),0)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IFERROR(__xludf.DUMMYFUNCTION("IMPORTRANGE(""https://docs.google.com/spreadsheets/d/11923uPwbBZFjjGgGUA6NLw09EwE0CqkOc4q9oUmW1yo/edit?usp=sharing"",""น่าน!J226"")"),0)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IFERROR(__xludf.DUMMYFUNCTION("IMPORTRANGE(""https://docs.google.com/spreadsheets/d/11923uPwbBZFjjGgGUA6NLw09EwE0CqkOc4q9oUmW1yo/edit?usp=sharing"",""น่าน!I228"")"),480)</f>
        <v>480</v>
      </c>
      <c r="J328" s="337">
        <f ca="1">IFERROR(__xludf.DUMMYFUNCTION("IMPORTRANGE(""https://docs.google.com/spreadsheets/d/11923uPwbBZFjjGgGUA6NLw09EwE0CqkOc4q9oUmW1yo/edit?usp=sharing"",""น่าน!J228"")"),170)</f>
        <v>170</v>
      </c>
      <c r="K328" s="315">
        <f ca="1">IF(I328&gt;0,J328*100/I328,0)</f>
        <v>35.416666666666664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935350</v>
      </c>
      <c r="M329" s="151">
        <f t="shared" ca="1" si="98"/>
        <v>512780</v>
      </c>
      <c r="N329" s="151">
        <f t="shared" ca="1" si="98"/>
        <v>389643</v>
      </c>
      <c r="O329" s="150">
        <f t="shared" ref="O329:O331" ca="1" si="99">IF(L329&gt;0,N329*100/L329,0)</f>
        <v>41.657454428823435</v>
      </c>
      <c r="P329" s="150">
        <f t="shared" ref="P329:P331" ca="1" si="100">IF(M329&gt;0,N329*100/M329,0)</f>
        <v>75.986387924646053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935350</v>
      </c>
      <c r="M331" s="87">
        <f t="shared" ca="1" si="102"/>
        <v>512780</v>
      </c>
      <c r="N331" s="87">
        <f t="shared" ca="1" si="102"/>
        <v>389643</v>
      </c>
      <c r="O331" s="155">
        <f t="shared" ca="1" si="99"/>
        <v>41.657454428823435</v>
      </c>
      <c r="P331" s="155">
        <f t="shared" ca="1" si="100"/>
        <v>75.986387924646053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920350</v>
      </c>
      <c r="M333" s="167">
        <f ca="1">IFERROR(__xludf.DUMMYFUNCTION("IMPORTRANGE(""https://docs.google.com/spreadsheets/d/1Yj_ptqi66GCucihVvJfMjLAmec39IyEx_6qawtMGysU/edit?usp=sharing"",""สบก!DL25"")"),497780)</f>
        <v>497780</v>
      </c>
      <c r="N333" s="168">
        <f ca="1">IFERROR(__xludf.DUMMYFUNCTION("IMPORTRANGE(""https://docs.google.com/spreadsheets/d/1Yj_ptqi66GCucihVvJfMjLAmec39IyEx_6qawtMGysU/edit?usp=sharing"",""สบก!DM25"")"),374643)</f>
        <v>374643</v>
      </c>
      <c r="O333" s="168">
        <f ca="1">IF(L333&gt;0,N333*100/L333,0)</f>
        <v>40.706579018851521</v>
      </c>
      <c r="P333" s="168">
        <f ca="1">IF(M333&gt;0,N333*100/M333,0)</f>
        <v>75.262766684077306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IFERROR(__xludf.DUMMYFUNCTION("IMPORTRANGE(""https://docs.google.com/spreadsheets/d/1Yj_ptqi66GCucihVvJfMjLAmec39IyEx_6qawtMGysU/edit?usp=sharing"",""สบก!DH25"")"),417600)</f>
        <v>417600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IFERROR(__xludf.DUMMYFUNCTION("IMPORTRANGE(""https://docs.google.com/spreadsheets/d/1Yj_ptqi66GCucihVvJfMjLAmec39IyEx_6qawtMGysU/edit?usp=sharing"",""สบก!DI25"")"),502750)</f>
        <v>502750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IFERROR(__xludf.DUMMYFUNCTION("IMPORTRANGE(""https://docs.google.com/spreadsheets/d/1Yj_ptqi66GCucihVvJfMjLAmec39IyEx_6qawtMGysU/edit?usp=sharing"",""สบก!DJ25"")"),15000)</f>
        <v>15000</v>
      </c>
      <c r="M337" s="49">
        <f ca="1">L337</f>
        <v>15000</v>
      </c>
      <c r="N337" s="49">
        <f ca="1">IFERROR(__xludf.DUMMYFUNCTION("IMPORTRANGE(""https://docs.google.com/spreadsheets/d/1Yj_ptqi66GCucihVvJfMjLAmec39IyEx_6qawtMGysU/edit?usp=sharing"",""สบก!DN25"")"),15000)</f>
        <v>15000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IFERROR(__xludf.DUMMYFUNCTION("IMPORTRANGE(""https://docs.google.com/spreadsheets/d/11923uPwbBZFjjGgGUA6NLw09EwE0CqkOc4q9oUmW1yo/edit?usp=sharing"",""น่าน!I234"")"),0)</f>
        <v>0</v>
      </c>
      <c r="J339" s="187">
        <f ca="1">IFERROR(__xludf.DUMMYFUNCTION("IMPORTRANGE(""https://docs.google.com/spreadsheets/d/11923uPwbBZFjjGgGUA6NLw09EwE0CqkOc4q9oUmW1yo/edit?usp=sharing"",""น่าน!J234"")"),178)</f>
        <v>178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IFERROR(__xludf.DUMMYFUNCTION("IMPORTRANGE(""https://docs.google.com/spreadsheets/d/11923uPwbBZFjjGgGUA6NLw09EwE0CqkOc4q9oUmW1yo/edit?usp=sharing"",""น่าน!I235"")"),2000)</f>
        <v>2000</v>
      </c>
      <c r="J340" s="187">
        <f ca="1">IFERROR(__xludf.DUMMYFUNCTION("IMPORTRANGE(""https://docs.google.com/spreadsheets/d/11923uPwbBZFjjGgGUA6NLw09EwE0CqkOc4q9oUmW1yo/edit?usp=sharing"",""น่าน!J235"")"),580.34)</f>
        <v>580.34</v>
      </c>
      <c r="K340" s="340">
        <f t="shared" ca="1" si="103"/>
        <v>29.016999999999999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IFERROR(__xludf.DUMMYFUNCTION("IMPORTRANGE(""https://docs.google.com/spreadsheets/d/11923uPwbBZFjjGgGUA6NLw09EwE0CqkOc4q9oUmW1yo/edit?usp=sharing"",""น่าน!I236"")"),480)</f>
        <v>480</v>
      </c>
      <c r="J341" s="187">
        <f ca="1">IFERROR(__xludf.DUMMYFUNCTION("IMPORTRANGE(""https://docs.google.com/spreadsheets/d/11923uPwbBZFjjGgGUA6NLw09EwE0CqkOc4q9oUmW1yo/edit?usp=sharing"",""น่าน!J236"")"),237)</f>
        <v>237</v>
      </c>
      <c r="K341" s="340">
        <f t="shared" ca="1" si="103"/>
        <v>49.375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IFERROR(__xludf.DUMMYFUNCTION("IMPORTRANGE(""https://docs.google.com/spreadsheets/d/11923uPwbBZFjjGgGUA6NLw09EwE0CqkOc4q9oUmW1yo/edit?usp=sharing"",""น่าน!I237"")"),0)</f>
        <v>0</v>
      </c>
      <c r="J342" s="187">
        <f ca="1">IFERROR(__xludf.DUMMYFUNCTION("IMPORTRANGE(""https://docs.google.com/spreadsheets/d/11923uPwbBZFjjGgGUA6NLw09EwE0CqkOc4q9oUmW1yo/edit?usp=sharing"",""น่าน!J237"")"),1041.62)</f>
        <v>1041.6199999999999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IFERROR(__xludf.DUMMYFUNCTION("IMPORTRANGE(""https://docs.google.com/spreadsheets/d/11923uPwbBZFjjGgGUA6NLw09EwE0CqkOc4q9oUmW1yo/edit?usp=sharing"",""น่าน!I238"")"),480)</f>
        <v>480</v>
      </c>
      <c r="J343" s="187">
        <f ca="1">IFERROR(__xludf.DUMMYFUNCTION("IMPORTRANGE(""https://docs.google.com/spreadsheets/d/11923uPwbBZFjjGgGUA6NLw09EwE0CqkOc4q9oUmW1yo/edit?usp=sharing"",""น่าน!J238"")"),1)</f>
        <v>1</v>
      </c>
      <c r="K343" s="340">
        <f t="shared" ca="1" si="103"/>
        <v>0.20833333333333334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IFERROR(__xludf.DUMMYFUNCTION("IMPORTRANGE(""https://docs.google.com/spreadsheets/d/11923uPwbBZFjjGgGUA6NLw09EwE0CqkOc4q9oUmW1yo/edit?usp=sharing"",""น่าน!I239"")"),0)</f>
        <v>0</v>
      </c>
      <c r="J344" s="187">
        <f ca="1">IFERROR(__xludf.DUMMYFUNCTION("IMPORTRANGE(""https://docs.google.com/spreadsheets/d/11923uPwbBZFjjGgGUA6NLw09EwE0CqkOc4q9oUmW1yo/edit?usp=sharing"",""น่าน!J239"")"),12.35)</f>
        <v>12.35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IFERROR(__xludf.DUMMYFUNCTION("IMPORTRANGE(""https://docs.google.com/spreadsheets/d/11923uPwbBZFjjGgGUA6NLw09EwE0CqkOc4q9oUmW1yo/edit?usp=sharing"",""น่าน!I240"")"),480)</f>
        <v>480</v>
      </c>
      <c r="J345" s="187">
        <f ca="1">IFERROR(__xludf.DUMMYFUNCTION("IMPORTRANGE(""https://docs.google.com/spreadsheets/d/11923uPwbBZFjjGgGUA6NLw09EwE0CqkOc4q9oUmW1yo/edit?usp=sharing"",""น่าน!J240"")"),170)</f>
        <v>170</v>
      </c>
      <c r="K345" s="340">
        <f t="shared" ca="1" si="103"/>
        <v>35.416666666666664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IFERROR(__xludf.DUMMYFUNCTION("IMPORTRANGE(""https://docs.google.com/spreadsheets/d/11923uPwbBZFjjGgGUA6NLw09EwE0CqkOc4q9oUmW1yo/edit?usp=sharing"",""น่าน!I241"")"),0)</f>
        <v>0</v>
      </c>
      <c r="J346" s="187">
        <f ca="1">IFERROR(__xludf.DUMMYFUNCTION("IMPORTRANGE(""https://docs.google.com/spreadsheets/d/11923uPwbBZFjjGgGUA6NLw09EwE0CqkOc4q9oUmW1yo/edit?usp=sharing"",""น่าน!J241"")"),795.16)</f>
        <v>795.16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IFERROR(__xludf.DUMMYFUNCTION("IMPORTRANGE(""https://docs.google.com/spreadsheets/d/11923uPwbBZFjjGgGUA6NLw09EwE0CqkOc4q9oUmW1yo/edit?usp=sharing"",""น่าน!L242"")"),2774994)</f>
        <v>2774994</v>
      </c>
      <c r="M347" s="356"/>
      <c r="N347" s="356">
        <f ca="1">IFERROR(__xludf.DUMMYFUNCTION("IMPORTRANGE(""https://docs.google.com/spreadsheets/d/11923uPwbBZFjjGgGUA6NLw09EwE0CqkOc4q9oUmW1yo/edit?usp=sharing"",""น่าน!M242"")"),502834)</f>
        <v>502834</v>
      </c>
      <c r="O347" s="356">
        <f ca="1">+IF(L347&gt;0,N347*100/L347,0)</f>
        <v>18.120183322918898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IFERROR(__xludf.DUMMYFUNCTION("IMPORTRANGE(""https://docs.google.com/spreadsheets/d/11923uPwbBZFjjGgGUA6NLw09EwE0CqkOc4q9oUmW1yo/edit?usp=sharing"",""น่าน!I244"")"),120)</f>
        <v>120</v>
      </c>
      <c r="J349" s="369">
        <f ca="1">IFERROR(__xludf.DUMMYFUNCTION("IMPORTRANGE(""https://docs.google.com/spreadsheets/d/11923uPwbBZFjjGgGUA6NLw09EwE0CqkOc4q9oUmW1yo/edit?usp=sharing"",""น่าน!J244"")"),0)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IFERROR(__xludf.DUMMYFUNCTION("IMPORTRANGE(""https://docs.google.com/spreadsheets/d/11923uPwbBZFjjGgGUA6NLw09EwE0CqkOc4q9oUmW1yo/edit?usp=sharing"",""น่าน!L244"")"),346610)</f>
        <v>346610</v>
      </c>
      <c r="M349" s="371"/>
      <c r="N349" s="371">
        <f ca="1">IFERROR(__xludf.DUMMYFUNCTION("IMPORTRANGE(""https://docs.google.com/spreadsheets/d/11923uPwbBZFjjGgGUA6NLw09EwE0CqkOc4q9oUmW1yo/edit?usp=sharing"",""น่าน!M244"")"),103789)</f>
        <v>103789</v>
      </c>
      <c r="O349" s="371">
        <f ca="1">+IF(L349&gt;0,N349*100/L349,0)</f>
        <v>29.944029312483771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IFERROR(__xludf.DUMMYFUNCTION("IMPORTRANGE(""https://docs.google.com/spreadsheets/d/11923uPwbBZFjjGgGUA6NLw09EwE0CqkOc4q9oUmW1yo/edit?usp=sharing"",""น่าน!I245"")"),45)</f>
        <v>45</v>
      </c>
      <c r="J350" s="369">
        <f ca="1">IFERROR(__xludf.DUMMYFUNCTION("IMPORTRANGE(""https://docs.google.com/spreadsheets/d/11923uPwbBZFjjGgGUA6NLw09EwE0CqkOc4q9oUmW1yo/edit?usp=sharing"",""น่าน!J245"")"),45)</f>
        <v>45</v>
      </c>
      <c r="K350" s="370">
        <f t="shared" ca="1" si="104"/>
        <v>100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IFERROR(__xludf.DUMMYFUNCTION("IMPORTRANGE(""https://docs.google.com/spreadsheets/d/11923uPwbBZFjjGgGUA6NLw09EwE0CqkOc4q9oUmW1yo/edit?usp=sharing"",""น่าน!L246"")"),0)</f>
        <v>0</v>
      </c>
      <c r="M351" s="164"/>
      <c r="N351" s="164">
        <f ca="1">IFERROR(__xludf.DUMMYFUNCTION("IMPORTRANGE(""https://docs.google.com/spreadsheets/d/11923uPwbBZFjjGgGUA6NLw09EwE0CqkOc4q9oUmW1yo/edit?usp=sharing"",""น่าน!M246"")"),0)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IFERROR(__xludf.DUMMYFUNCTION("IMPORTRANGE(""https://docs.google.com/spreadsheets/d/11923uPwbBZFjjGgGUA6NLw09EwE0CqkOc4q9oUmW1yo/edit?usp=sharing"",""น่าน!L247"")"),346610)</f>
        <v>346610</v>
      </c>
      <c r="M352" s="165"/>
      <c r="N352" s="164">
        <f ca="1">IFERROR(__xludf.DUMMYFUNCTION("IMPORTRANGE(""https://docs.google.com/spreadsheets/d/11923uPwbBZFjjGgGUA6NLw09EwE0CqkOc4q9oUmW1yo/edit?usp=sharing"",""น่าน!M247"")"),103789)</f>
        <v>103789</v>
      </c>
      <c r="O352" s="165">
        <f t="shared" ca="1" si="105"/>
        <v>29.944029312483771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IFERROR(__xludf.DUMMYFUNCTION("IMPORTRANGE(""https://docs.google.com/spreadsheets/d/11923uPwbBZFjjGgGUA6NLw09EwE0CqkOc4q9oUmW1yo/edit?usp=sharing"",""น่าน!L248"")"),0)</f>
        <v>0</v>
      </c>
      <c r="M353" s="168"/>
      <c r="N353" s="168">
        <f ca="1">IFERROR(__xludf.DUMMYFUNCTION("IMPORTRANGE(""https://docs.google.com/spreadsheets/d/11923uPwbBZFjjGgGUA6NLw09EwE0CqkOc4q9oUmW1yo/edit?usp=sharing"",""น่าน!M248"")"),0)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IFERROR(__xludf.DUMMYFUNCTION("IMPORTRANGE(""https://docs.google.com/spreadsheets/d/11923uPwbBZFjjGgGUA6NLw09EwE0CqkOc4q9oUmW1yo/edit?usp=sharing"",""น่าน!L249"")"),346610)</f>
        <v>346610</v>
      </c>
      <c r="M354" s="168"/>
      <c r="N354" s="167">
        <f ca="1">IFERROR(__xludf.DUMMYFUNCTION("IMPORTRANGE(""https://docs.google.com/spreadsheets/d/11923uPwbBZFjjGgGUA6NLw09EwE0CqkOc4q9oUmW1yo/edit?usp=sharing"",""น่าน!M249"")"),103789)</f>
        <v>103789</v>
      </c>
      <c r="O354" s="168">
        <f t="shared" ca="1" si="105"/>
        <v>29.944029312483771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IFERROR(__xludf.DUMMYFUNCTION("IMPORTRANGE(""https://docs.google.com/spreadsheets/d/11923uPwbBZFjjGgGUA6NLw09EwE0CqkOc4q9oUmW1yo/edit?usp=sharing"",""น่าน!M250"")"),42380)</f>
        <v>42380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IFERROR(__xludf.DUMMYFUNCTION("IMPORTRANGE(""https://docs.google.com/spreadsheets/d/11923uPwbBZFjjGgGUA6NLw09EwE0CqkOc4q9oUmW1yo/edit?usp=sharing"",""น่าน!M251"")"),0)</f>
        <v>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IFERROR(__xludf.DUMMYFUNCTION("IMPORTRANGE(""https://docs.google.com/spreadsheets/d/11923uPwbBZFjjGgGUA6NLw09EwE0CqkOc4q9oUmW1yo/edit?usp=sharing"",""น่าน!M252"")"),58449)</f>
        <v>58449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IFERROR(__xludf.DUMMYFUNCTION("IMPORTRANGE(""https://docs.google.com/spreadsheets/d/11923uPwbBZFjjGgGUA6NLw09EwE0CqkOc4q9oUmW1yo/edit?usp=sharing"",""น่าน!M253"")"),2960)</f>
        <v>2960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IFERROR(__xludf.DUMMYFUNCTION("IMPORTRANGE(""https://docs.google.com/spreadsheets/d/11923uPwbBZFjjGgGUA6NLw09EwE0CqkOc4q9oUmW1yo/edit?usp=sharing"",""น่าน!J255"")"),0)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IFERROR(__xludf.DUMMYFUNCTION("IMPORTRANGE(""https://docs.google.com/spreadsheets/d/11923uPwbBZFjjGgGUA6NLw09EwE0CqkOc4q9oUmW1yo/edit?usp=sharing"",""น่าน!J256"")"),1)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IFERROR(__xludf.DUMMYFUNCTION("IMPORTRANGE(""https://docs.google.com/spreadsheets/d/11923uPwbBZFjjGgGUA6NLw09EwE0CqkOc4q9oUmW1yo/edit?usp=sharing"",""น่าน!J257"")"),1)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IFERROR(__xludf.DUMMYFUNCTION("IMPORTRANGE(""https://docs.google.com/spreadsheets/d/11923uPwbBZFjjGgGUA6NLw09EwE0CqkOc4q9oUmW1yo/edit?usp=sharing"",""น่าน!J258"")"),1)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IFERROR(__xludf.DUMMYFUNCTION("IMPORTRANGE(""https://docs.google.com/spreadsheets/d/11923uPwbBZFjjGgGUA6NLw09EwE0CqkOc4q9oUmW1yo/edit?usp=sharing"",""น่าน!J166"")"),0)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IFERROR(__xludf.DUMMYFUNCTION("IMPORTRANGE(""https://docs.google.com/spreadsheets/d/11923uPwbBZFjjGgGUA6NLw09EwE0CqkOc4q9oUmW1yo/edit?usp=sharing"",""น่าน!J166"")"),0)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IFERROR(__xludf.DUMMYFUNCTION("IMPORTRANGE(""https://docs.google.com/spreadsheets/d/11923uPwbBZFjjGgGUA6NLw09EwE0CqkOc4q9oUmW1yo/edit?usp=sharing"",""น่าน!J166"")"),0)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IFERROR(__xludf.DUMMYFUNCTION("IMPORTRANGE(""https://docs.google.com/spreadsheets/d/11923uPwbBZFjjGgGUA6NLw09EwE0CqkOc4q9oUmW1yo/edit?usp=sharing"",""น่าน!J166"")"),0)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IFERROR(__xludf.DUMMYFUNCTION("IMPORTRANGE(""https://docs.google.com/spreadsheets/d/11923uPwbBZFjjGgGUA6NLw09EwE0CqkOc4q9oUmW1yo/edit?usp=sharing"",""น่าน!I263"")"),45)</f>
        <v>45</v>
      </c>
      <c r="J368" s="187">
        <f ca="1">IFERROR(__xludf.DUMMYFUNCTION("IMPORTRANGE(""https://docs.google.com/spreadsheets/d/11923uPwbBZFjjGgGUA6NLw09EwE0CqkOc4q9oUmW1yo/edit?usp=sharing"",""น่าน!J263"")"),45)</f>
        <v>45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IFERROR(__xludf.DUMMYFUNCTION("IMPORTRANGE(""https://docs.google.com/spreadsheets/d/11923uPwbBZFjjGgGUA6NLw09EwE0CqkOc4q9oUmW1yo/edit?usp=sharing"",""น่าน!I164"")"),0)</f>
        <v>0</v>
      </c>
      <c r="J369" s="203">
        <f ca="1">IFERROR(__xludf.DUMMYFUNCTION("IMPORTRANGE(""https://docs.google.com/spreadsheets/d/11923uPwbBZFjjGgGUA6NLw09EwE0CqkOc4q9oUmW1yo/edit?usp=sharing"",""น่าน!J164"")"),0)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IFERROR(__xludf.DUMMYFUNCTION("IMPORTRANGE(""https://docs.google.com/spreadsheets/d/11923uPwbBZFjjGgGUA6NLw09EwE0CqkOc4q9oUmW1yo/edit?usp=sharing"",""น่าน!I265"")"),45)</f>
        <v>45</v>
      </c>
      <c r="J370" s="203">
        <f ca="1">IFERROR(__xludf.DUMMYFUNCTION("IMPORTRANGE(""https://docs.google.com/spreadsheets/d/11923uPwbBZFjjGgGUA6NLw09EwE0CqkOc4q9oUmW1yo/edit?usp=sharing"",""น่าน!J265"")"),45)</f>
        <v>45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IFERROR(__xludf.DUMMYFUNCTION("IMPORTRANGE(""https://docs.google.com/spreadsheets/d/11923uPwbBZFjjGgGUA6NLw09EwE0CqkOc4q9oUmW1yo/edit?usp=sharing"",""น่าน!I164"")"),0)</f>
        <v>0</v>
      </c>
      <c r="J371" s="188">
        <f ca="1">IFERROR(__xludf.DUMMYFUNCTION("IMPORTRANGE(""https://docs.google.com/spreadsheets/d/11923uPwbBZFjjGgGUA6NLw09EwE0CqkOc4q9oUmW1yo/edit?usp=sharing"",""น่าน!J164"")"),0)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IFERROR(__xludf.DUMMYFUNCTION("IMPORTRANGE(""https://docs.google.com/spreadsheets/d/11923uPwbBZFjjGgGUA6NLw09EwE0CqkOc4q9oUmW1yo/edit?usp=sharing"",""น่าน!I267"")"),45)</f>
        <v>45</v>
      </c>
      <c r="J372" s="188">
        <f ca="1">IFERROR(__xludf.DUMMYFUNCTION("IMPORTRANGE(""https://docs.google.com/spreadsheets/d/11923uPwbBZFjjGgGUA6NLw09EwE0CqkOc4q9oUmW1yo/edit?usp=sharing"",""น่าน!J267"")"),45)</f>
        <v>45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IFERROR(__xludf.DUMMYFUNCTION("IMPORTRANGE(""https://docs.google.com/spreadsheets/d/11923uPwbBZFjjGgGUA6NLw09EwE0CqkOc4q9oUmW1yo/edit?usp=sharing"",""น่าน!I164"")"),0)</f>
        <v>0</v>
      </c>
      <c r="J373" s="203">
        <f ca="1">IFERROR(__xludf.DUMMYFUNCTION("IMPORTRANGE(""https://docs.google.com/spreadsheets/d/11923uPwbBZFjjGgGUA6NLw09EwE0CqkOc4q9oUmW1yo/edit?usp=sharing"",""น่าน!J164"")"),0)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IFERROR(__xludf.DUMMYFUNCTION("IMPORTRANGE(""https://docs.google.com/spreadsheets/d/11923uPwbBZFjjGgGUA6NLw09EwE0CqkOc4q9oUmW1yo/edit?usp=sharing"",""น่าน!I164"")"),0)</f>
        <v>0</v>
      </c>
      <c r="J374" s="187">
        <f ca="1">IFERROR(__xludf.DUMMYFUNCTION("IMPORTRANGE(""https://docs.google.com/spreadsheets/d/11923uPwbBZFjjGgGUA6NLw09EwE0CqkOc4q9oUmW1yo/edit?usp=sharing"",""น่าน!J164"")"),0)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IFERROR(__xludf.DUMMYFUNCTION("IMPORTRANGE(""https://docs.google.com/spreadsheets/d/11923uPwbBZFjjGgGUA6NLw09EwE0CqkOc4q9oUmW1yo/edit?usp=sharing"",""น่าน!I270"")"),120)</f>
        <v>120</v>
      </c>
      <c r="J375" s="187">
        <f ca="1">IFERROR(__xludf.DUMMYFUNCTION("IMPORTRANGE(""https://docs.google.com/spreadsheets/d/11923uPwbBZFjjGgGUA6NLw09EwE0CqkOc4q9oUmW1yo/edit?usp=sharing"",""น่าน!J270"")"),0)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IFERROR(__xludf.DUMMYFUNCTION("IMPORTRANGE(""https://docs.google.com/spreadsheets/d/11923uPwbBZFjjGgGUA6NLw09EwE0CqkOc4q9oUmW1yo/edit?usp=sharing"",""น่าน!I271"")"),60)</f>
        <v>60</v>
      </c>
      <c r="J376" s="188">
        <f ca="1">IFERROR(__xludf.DUMMYFUNCTION("IMPORTRANGE(""https://docs.google.com/spreadsheets/d/11923uPwbBZFjjGgGUA6NLw09EwE0CqkOc4q9oUmW1yo/edit?usp=sharing"",""น่าน!J271"")"),0)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IFERROR(__xludf.DUMMYFUNCTION("IMPORTRANGE(""https://docs.google.com/spreadsheets/d/11923uPwbBZFjjGgGUA6NLw09EwE0CqkOc4q9oUmW1yo/edit?usp=sharing"",""น่าน!I272"")"),60)</f>
        <v>60</v>
      </c>
      <c r="J377" s="203">
        <f ca="1">IFERROR(__xludf.DUMMYFUNCTION("IMPORTRANGE(""https://docs.google.com/spreadsheets/d/11923uPwbBZFjjGgGUA6NLw09EwE0CqkOc4q9oUmW1yo/edit?usp=sharing"",""น่าน!J272"")"),0)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IFERROR(__xludf.DUMMYFUNCTION("IMPORTRANGE(""https://docs.google.com/spreadsheets/d/11923uPwbBZFjjGgGUA6NLw09EwE0CqkOc4q9oUmW1yo/edit?usp=sharing"",""น่าน!J273"")"),0)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IFERROR(__xludf.DUMMYFUNCTION("IMPORTRANGE(""https://docs.google.com/spreadsheets/d/11923uPwbBZFjjGgGUA6NLw09EwE0CqkOc4q9oUmW1yo/edit?usp=sharing"",""น่าน!J274"")"),0)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IFERROR(__xludf.DUMMYFUNCTION("IMPORTRANGE(""https://docs.google.com/spreadsheets/d/11923uPwbBZFjjGgGUA6NLw09EwE0CqkOc4q9oUmW1yo/edit?usp=sharing"",""น่าน!I275"")"),1000)</f>
        <v>1000</v>
      </c>
      <c r="J380" s="369">
        <f ca="1">IFERROR(__xludf.DUMMYFUNCTION("IMPORTRANGE(""https://docs.google.com/spreadsheets/d/11923uPwbBZFjjGgGUA6NLw09EwE0CqkOc4q9oUmW1yo/edit?usp=sharing"",""น่าน!J275"")"),0)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IFERROR(__xludf.DUMMYFUNCTION("IMPORTRANGE(""https://docs.google.com/spreadsheets/d/11923uPwbBZFjjGgGUA6NLw09EwE0CqkOc4q9oUmW1yo/edit?usp=sharing"",""น่าน!L275"")"),1028520)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IFERROR(__xludf.DUMMYFUNCTION("IMPORTRANGE(""https://docs.google.com/spreadsheets/d/11923uPwbBZFjjGgGUA6NLw09EwE0CqkOc4q9oUmW1yo/edit?usp=sharing"",""น่าน!M275"")"),152088)</f>
        <v>152088</v>
      </c>
      <c r="O380" s="371">
        <f ca="1">+IF(L380&gt;0,N380*100/L380,0)</f>
        <v>14.787072686967681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IFERROR(__xludf.DUMMYFUNCTION("IMPORTRANGE(""https://docs.google.com/spreadsheets/d/11923uPwbBZFjjGgGUA6NLw09EwE0CqkOc4q9oUmW1yo/edit?usp=sharing"",""น่าน!I276"")"),100)</f>
        <v>100</v>
      </c>
      <c r="J381" s="369">
        <f ca="1">IFERROR(__xludf.DUMMYFUNCTION("IMPORTRANGE(""https://docs.google.com/spreadsheets/d/11923uPwbBZFjjGgGUA6NLw09EwE0CqkOc4q9oUmW1yo/edit?usp=sharing"",""น่าน!J276"")"),70)</f>
        <v>70</v>
      </c>
      <c r="K381" s="370">
        <f t="shared" ca="1" si="108"/>
        <v>70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IFERROR(__xludf.DUMMYFUNCTION("IMPORTRANGE(""https://docs.google.com/spreadsheets/d/11923uPwbBZFjjGgGUA6NLw09EwE0CqkOc4q9oUmW1yo/edit?usp=sharing"",""น่าน!L277"")"),0)</f>
        <v>0</v>
      </c>
      <c r="M382" s="164"/>
      <c r="N382" s="164">
        <f ca="1">IFERROR(__xludf.DUMMYFUNCTION("IMPORTRANGE(""https://docs.google.com/spreadsheets/d/11923uPwbBZFjjGgGUA6NLw09EwE0CqkOc4q9oUmW1yo/edit?usp=sharing"",""น่าน!M277"")"),0)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IFERROR(__xludf.DUMMYFUNCTION("IMPORTRANGE(""https://docs.google.com/spreadsheets/d/11923uPwbBZFjjGgGUA6NLw09EwE0CqkOc4q9oUmW1yo/edit?usp=sharing"",""น่าน!L278"")"),1028520)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IFERROR(__xludf.DUMMYFUNCTION("IMPORTRANGE(""https://docs.google.com/spreadsheets/d/11923uPwbBZFjjGgGUA6NLw09EwE0CqkOc4q9oUmW1yo/edit?usp=sharing"",""น่าน!M278"")"),152088)</f>
        <v>152088</v>
      </c>
      <c r="O383" s="165">
        <f t="shared" ca="1" si="109"/>
        <v>14.787072686967681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IFERROR(__xludf.DUMMYFUNCTION("IMPORTRANGE(""https://docs.google.com/spreadsheets/d/11923uPwbBZFjjGgGUA6NLw09EwE0CqkOc4q9oUmW1yo/edit?usp=sharing"",""น่าน!L279"")"),0)</f>
        <v>0</v>
      </c>
      <c r="M384" s="168"/>
      <c r="N384" s="168">
        <f ca="1">IFERROR(__xludf.DUMMYFUNCTION("IMPORTRANGE(""https://docs.google.com/spreadsheets/d/11923uPwbBZFjjGgGUA6NLw09EwE0CqkOc4q9oUmW1yo/edit?usp=sharing"",""น่าน!M279"")"),0)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IFERROR(__xludf.DUMMYFUNCTION("IMPORTRANGE(""https://docs.google.com/spreadsheets/d/11923uPwbBZFjjGgGUA6NLw09EwE0CqkOc4q9oUmW1yo/edit?usp=sharing"",""น่าน!L280"")"),1028520)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IFERROR(__xludf.DUMMYFUNCTION("IMPORTRANGE(""https://docs.google.com/spreadsheets/d/11923uPwbBZFjjGgGUA6NLw09EwE0CqkOc4q9oUmW1yo/edit?usp=sharing"",""น่าน!M280"")"),152088)</f>
        <v>152088</v>
      </c>
      <c r="O385" s="168">
        <f t="shared" ca="1" si="109"/>
        <v>14.787072686967681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IFERROR(__xludf.DUMMYFUNCTION("IMPORTRANGE(""https://docs.google.com/spreadsheets/d/11923uPwbBZFjjGgGUA6NLw09EwE0CqkOc4q9oUmW1yo/edit?usp=sharing"",""น่าน!M281"")"),90890)</f>
        <v>90890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IFERROR(__xludf.DUMMYFUNCTION("IMPORTRANGE(""https://docs.google.com/spreadsheets/d/11923uPwbBZFjjGgGUA6NLw09EwE0CqkOc4q9oUmW1yo/edit?usp=sharing"",""น่าน!M282"")"),0)</f>
        <v>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IFERROR(__xludf.DUMMYFUNCTION("IMPORTRANGE(""https://docs.google.com/spreadsheets/d/11923uPwbBZFjjGgGUA6NLw09EwE0CqkOc4q9oUmW1yo/edit?usp=sharing"",""น่าน!M283"")"),57558)</f>
        <v>57558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IFERROR(__xludf.DUMMYFUNCTION("IMPORTRANGE(""https://docs.google.com/spreadsheets/d/11923uPwbBZFjjGgGUA6NLw09EwE0CqkOc4q9oUmW1yo/edit?usp=sharing"",""น่าน!M284"")"),3640)</f>
        <v>3640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IFERROR(__xludf.DUMMYFUNCTION("IMPORTRANGE(""https://docs.google.com/spreadsheets/d/11923uPwbBZFjjGgGUA6NLw09EwE0CqkOc4q9oUmW1yo/edit?usp=sharing"",""น่าน!J286"")"),0)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IFERROR(__xludf.DUMMYFUNCTION("IMPORTRANGE(""https://docs.google.com/spreadsheets/d/11923uPwbBZFjjGgGUA6NLw09EwE0CqkOc4q9oUmW1yo/edit?usp=sharing"",""น่าน!J287"")"),1)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IFERROR(__xludf.DUMMYFUNCTION("IMPORTRANGE(""https://docs.google.com/spreadsheets/d/11923uPwbBZFjjGgGUA6NLw09EwE0CqkOc4q9oUmW1yo/edit?usp=sharing"",""น่าน!J288"")"),1)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IFERROR(__xludf.DUMMYFUNCTION("IMPORTRANGE(""https://docs.google.com/spreadsheets/d/11923uPwbBZFjjGgGUA6NLw09EwE0CqkOc4q9oUmW1yo/edit?usp=sharing"",""น่าน!J289"")"),1)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IFERROR(__xludf.DUMMYFUNCTION("IMPORTRANGE(""https://docs.google.com/spreadsheets/d/11923uPwbBZFjjGgGUA6NLw09EwE0CqkOc4q9oUmW1yo/edit?usp=sharing"",""น่าน!I291"")"),100)</f>
        <v>100</v>
      </c>
      <c r="J396" s="197">
        <f ca="1">IFERROR(__xludf.DUMMYFUNCTION("IMPORTRANGE(""https://docs.google.com/spreadsheets/d/11923uPwbBZFjjGgGUA6NLw09EwE0CqkOc4q9oUmW1yo/edit?usp=sharing"",""น่าน!J291"")"),70)</f>
        <v>70</v>
      </c>
      <c r="K396" s="163">
        <f t="shared" ref="K396:K398" ca="1" si="110">IF(I396&gt;0,J396*100/I396,0)</f>
        <v>70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IFERROR(__xludf.DUMMYFUNCTION("IMPORTRANGE(""https://docs.google.com/spreadsheets/d/11923uPwbBZFjjGgGUA6NLw09EwE0CqkOc4q9oUmW1yo/edit?usp=sharing"",""น่าน!I292"")"),1000)</f>
        <v>1000</v>
      </c>
      <c r="J397" s="197">
        <f ca="1">IFERROR(__xludf.DUMMYFUNCTION("IMPORTRANGE(""https://docs.google.com/spreadsheets/d/11923uPwbBZFjjGgGUA6NLw09EwE0CqkOc4q9oUmW1yo/edit?usp=sharing"",""น่าน!J292"")"),0)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IFERROR(__xludf.DUMMYFUNCTION("IMPORTRANGE(""https://docs.google.com/spreadsheets/d/11923uPwbBZFjjGgGUA6NLw09EwE0CqkOc4q9oUmW1yo/edit?usp=sharing"",""น่าน!I293"")"),100)</f>
        <v>100</v>
      </c>
      <c r="J398" s="197">
        <f ca="1">IFERROR(__xludf.DUMMYFUNCTION("IMPORTRANGE(""https://docs.google.com/spreadsheets/d/11923uPwbBZFjjGgGUA6NLw09EwE0CqkOc4q9oUmW1yo/edit?usp=sharing"",""น่าน!J293"")"),0)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IFERROR(__xludf.DUMMYFUNCTION("IMPORTRANGE(""https://docs.google.com/spreadsheets/d/11923uPwbBZFjjGgGUA6NLw09EwE0CqkOc4q9oUmW1yo/edit?usp=sharing"",""น่าน!J294"")"),0)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IFERROR(__xludf.DUMMYFUNCTION("IMPORTRANGE(""https://docs.google.com/spreadsheets/d/11923uPwbBZFjjGgGUA6NLw09EwE0CqkOc4q9oUmW1yo/edit?usp=sharing"",""น่าน!J295"")"),0)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IFERROR(__xludf.DUMMYFUNCTION("IMPORTRANGE(""https://docs.google.com/spreadsheets/d/11923uPwbBZFjjGgGUA6NLw09EwE0CqkOc4q9oUmW1yo/edit?usp=sharing"",""น่าน!I296"")"),150)</f>
        <v>150</v>
      </c>
      <c r="J401" s="369">
        <f ca="1">IFERROR(__xludf.DUMMYFUNCTION("IMPORTRANGE(""https://docs.google.com/spreadsheets/d/11923uPwbBZFjjGgGUA6NLw09EwE0CqkOc4q9oUmW1yo/edit?usp=sharing"",""น่าน!J296"")"),0)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IFERROR(__xludf.DUMMYFUNCTION("IMPORTRANGE(""https://docs.google.com/spreadsheets/d/11923uPwbBZFjjGgGUA6NLw09EwE0CqkOc4q9oUmW1yo/edit?usp=sharing"",""น่าน!L296"")"),172800)</f>
        <v>172800</v>
      </c>
      <c r="M401" s="371"/>
      <c r="N401" s="371">
        <f ca="1">IFERROR(__xludf.DUMMYFUNCTION("IMPORTRANGE(""https://docs.google.com/spreadsheets/d/11923uPwbBZFjjGgGUA6NLw09EwE0CqkOc4q9oUmW1yo/edit?usp=sharing"",""น่าน!M296"")"),17710)</f>
        <v>17710</v>
      </c>
      <c r="O401" s="371">
        <f ca="1">+IF(L401&gt;0,N401*100/L401,0)</f>
        <v>10.248842592592593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IFERROR(__xludf.DUMMYFUNCTION("IMPORTRANGE(""https://docs.google.com/spreadsheets/d/11923uPwbBZFjjGgGUA6NLw09EwE0CqkOc4q9oUmW1yo/edit?usp=sharing"",""น่าน!I297"")"),50)</f>
        <v>50</v>
      </c>
      <c r="J402" s="369">
        <f ca="1">IFERROR(__xludf.DUMMYFUNCTION("IMPORTRANGE(""https://docs.google.com/spreadsheets/d/11923uPwbBZFjjGgGUA6NLw09EwE0CqkOc4q9oUmW1yo/edit?usp=sharing"",""น่าน!J297"")"),10)</f>
        <v>10</v>
      </c>
      <c r="K402" s="370">
        <f t="shared" ca="1" si="111"/>
        <v>20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IFERROR(__xludf.DUMMYFUNCTION("IMPORTRANGE(""https://docs.google.com/spreadsheets/d/11923uPwbBZFjjGgGUA6NLw09EwE0CqkOc4q9oUmW1yo/edit?usp=sharing"",""น่าน!L298"")"),0)</f>
        <v>0</v>
      </c>
      <c r="M403" s="164"/>
      <c r="N403" s="168">
        <f ca="1">IFERROR(__xludf.DUMMYFUNCTION("IMPORTRANGE(""https://docs.google.com/spreadsheets/d/11923uPwbBZFjjGgGUA6NLw09EwE0CqkOc4q9oUmW1yo/edit?usp=sharing"",""น่าน!M298"")"),0)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IFERROR(__xludf.DUMMYFUNCTION("IMPORTRANGE(""https://docs.google.com/spreadsheets/d/11923uPwbBZFjjGgGUA6NLw09EwE0CqkOc4q9oUmW1yo/edit?usp=sharing"",""น่าน!L299"")"),172800)</f>
        <v>172800</v>
      </c>
      <c r="M404" s="165"/>
      <c r="N404" s="168">
        <f ca="1">IFERROR(__xludf.DUMMYFUNCTION("IMPORTRANGE(""https://docs.google.com/spreadsheets/d/11923uPwbBZFjjGgGUA6NLw09EwE0CqkOc4q9oUmW1yo/edit?usp=sharing"",""น่าน!M299"")"),17710)</f>
        <v>17710</v>
      </c>
      <c r="O404" s="168">
        <f t="shared" ca="1" si="112"/>
        <v>10.248842592592593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IFERROR(__xludf.DUMMYFUNCTION("IMPORTRANGE(""https://docs.google.com/spreadsheets/d/11923uPwbBZFjjGgGUA6NLw09EwE0CqkOc4q9oUmW1yo/edit?usp=sharing"",""น่าน!L300"")"),0)</f>
        <v>0</v>
      </c>
      <c r="M405" s="168"/>
      <c r="N405" s="168">
        <f ca="1">IFERROR(__xludf.DUMMYFUNCTION("IMPORTRANGE(""https://docs.google.com/spreadsheets/d/11923uPwbBZFjjGgGUA6NLw09EwE0CqkOc4q9oUmW1yo/edit?usp=sharing"",""น่าน!M300"")"),0)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IFERROR(__xludf.DUMMYFUNCTION("IMPORTRANGE(""https://docs.google.com/spreadsheets/d/11923uPwbBZFjjGgGUA6NLw09EwE0CqkOc4q9oUmW1yo/edit?usp=sharing"",""น่าน!L301"")"),172800)</f>
        <v>172800</v>
      </c>
      <c r="M406" s="168"/>
      <c r="N406" s="168">
        <f ca="1">IFERROR(__xludf.DUMMYFUNCTION("IMPORTRANGE(""https://docs.google.com/spreadsheets/d/11923uPwbBZFjjGgGUA6NLw09EwE0CqkOc4q9oUmW1yo/edit?usp=sharing"",""น่าน!M301"")"),17710)</f>
        <v>17710</v>
      </c>
      <c r="O406" s="168">
        <f t="shared" ca="1" si="112"/>
        <v>10.248842592592593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IFERROR(__xludf.DUMMYFUNCTION("IMPORTRANGE(""https://docs.google.com/spreadsheets/d/11923uPwbBZFjjGgGUA6NLw09EwE0CqkOc4q9oUmW1yo/edit?usp=sharing"",""น่าน!M302"")"),16710)</f>
        <v>16710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IFERROR(__xludf.DUMMYFUNCTION("IMPORTRANGE(""https://docs.google.com/spreadsheets/d/11923uPwbBZFjjGgGUA6NLw09EwE0CqkOc4q9oUmW1yo/edit?usp=sharing"",""น่าน!M303"")"),0)</f>
        <v>0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IFERROR(__xludf.DUMMYFUNCTION("IMPORTRANGE(""https://docs.google.com/spreadsheets/d/11923uPwbBZFjjGgGUA6NLw09EwE0CqkOc4q9oUmW1yo/edit?usp=sharing"",""น่าน!M304"")"),0)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IFERROR(__xludf.DUMMYFUNCTION("IMPORTRANGE(""https://docs.google.com/spreadsheets/d/11923uPwbBZFjjGgGUA6NLw09EwE0CqkOc4q9oUmW1yo/edit?usp=sharing"",""น่าน!M305"")"),1000)</f>
        <v>1000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IFERROR(__xludf.DUMMYFUNCTION("IMPORTRANGE(""https://docs.google.com/spreadsheets/d/11923uPwbBZFjjGgGUA6NLw09EwE0CqkOc4q9oUmW1yo/edit?usp=sharing"",""น่าน!J307"")"),0)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IFERROR(__xludf.DUMMYFUNCTION("IMPORTRANGE(""https://docs.google.com/spreadsheets/d/11923uPwbBZFjjGgGUA6NLw09EwE0CqkOc4q9oUmW1yo/edit?usp=sharing"",""น่าน!J308"")"),1)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IFERROR(__xludf.DUMMYFUNCTION("IMPORTRANGE(""https://docs.google.com/spreadsheets/d/11923uPwbBZFjjGgGUA6NLw09EwE0CqkOc4q9oUmW1yo/edit?usp=sharing"",""น่าน!J309"")"),1)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IFERROR(__xludf.DUMMYFUNCTION("IMPORTRANGE(""https://docs.google.com/spreadsheets/d/11923uPwbBZFjjGgGUA6NLw09EwE0CqkOc4q9oUmW1yo/edit?usp=sharing"",""น่าน!J310"")"),1)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IFERROR(__xludf.DUMMYFUNCTION("IMPORTRANGE(""https://docs.google.com/spreadsheets/d/11923uPwbBZFjjGgGUA6NLw09EwE0CqkOc4q9oUmW1yo/edit?usp=sharing"",""น่าน!I311"")"),50)</f>
        <v>50</v>
      </c>
      <c r="J416" s="200">
        <f ca="1">IFERROR(__xludf.DUMMYFUNCTION("IMPORTRANGE(""https://docs.google.com/spreadsheets/d/11923uPwbBZFjjGgGUA6NLw09EwE0CqkOc4q9oUmW1yo/edit?usp=sharing"",""น่าน!J311"")"),10)</f>
        <v>10</v>
      </c>
      <c r="K416" s="201">
        <f t="shared" ref="K416:K432" ca="1" si="113">IF(I416&gt;0,J416*100/I416,0)</f>
        <v>20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IFERROR(__xludf.DUMMYFUNCTION("IMPORTRANGE(""https://docs.google.com/spreadsheets/d/11923uPwbBZFjjGgGUA6NLw09EwE0CqkOc4q9oUmW1yo/edit?usp=sharing"",""น่าน!I312"")"),10)</f>
        <v>10</v>
      </c>
      <c r="J417" s="390">
        <f ca="1">IFERROR(__xludf.DUMMYFUNCTION("IMPORTRANGE(""https://docs.google.com/spreadsheets/d/11923uPwbBZFjjGgGUA6NLw09EwE0CqkOc4q9oUmW1yo/edit?usp=sharing"",""น่าน!J312"")"),10)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IFERROR(__xludf.DUMMYFUNCTION("IMPORTRANGE(""https://docs.google.com/spreadsheets/d/11923uPwbBZFjjGgGUA6NLw09EwE0CqkOc4q9oUmW1yo/edit?usp=sharing"",""น่าน!I313"")"),30)</f>
        <v>30</v>
      </c>
      <c r="J418" s="391">
        <f ca="1">IFERROR(__xludf.DUMMYFUNCTION("IMPORTRANGE(""https://docs.google.com/spreadsheets/d/11923uPwbBZFjjGgGUA6NLw09EwE0CqkOc4q9oUmW1yo/edit?usp=sharing"",""น่าน!J313"")"),0)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IFERROR(__xludf.DUMMYFUNCTION("IMPORTRANGE(""https://docs.google.com/spreadsheets/d/11923uPwbBZFjjGgGUA6NLw09EwE0CqkOc4q9oUmW1yo/edit?usp=sharing"",""น่าน!I314"")"),10)</f>
        <v>10</v>
      </c>
      <c r="J419" s="392">
        <f ca="1">IFERROR(__xludf.DUMMYFUNCTION("IMPORTRANGE(""https://docs.google.com/spreadsheets/d/11923uPwbBZFjjGgGUA6NLw09EwE0CqkOc4q9oUmW1yo/edit?usp=sharing"",""น่าน!J314"")"),10)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IFERROR(__xludf.DUMMYFUNCTION("IMPORTRANGE(""https://docs.google.com/spreadsheets/d/11923uPwbBZFjjGgGUA6NLw09EwE0CqkOc4q9oUmW1yo/edit?usp=sharing"",""น่าน!I315"")"),10)</f>
        <v>10</v>
      </c>
      <c r="J420" s="392">
        <f ca="1">IFERROR(__xludf.DUMMYFUNCTION("IMPORTRANGE(""https://docs.google.com/spreadsheets/d/11923uPwbBZFjjGgGUA6NLw09EwE0CqkOc4q9oUmW1yo/edit?usp=sharing"",""น่าน!J315"")"),10)</f>
        <v>10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IFERROR(__xludf.DUMMYFUNCTION("IMPORTRANGE(""https://docs.google.com/spreadsheets/d/11923uPwbBZFjjGgGUA6NLw09EwE0CqkOc4q9oUmW1yo/edit?usp=sharing"",""น่าน!I316"")"),30)</f>
        <v>30</v>
      </c>
      <c r="J421" s="390">
        <f ca="1">IFERROR(__xludf.DUMMYFUNCTION("IMPORTRANGE(""https://docs.google.com/spreadsheets/d/11923uPwbBZFjjGgGUA6NLw09EwE0CqkOc4q9oUmW1yo/edit?usp=sharing"",""น่าน!J316"")"),0)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IFERROR(__xludf.DUMMYFUNCTION("IMPORTRANGE(""https://docs.google.com/spreadsheets/d/11923uPwbBZFjjGgGUA6NLw09EwE0CqkOc4q9oUmW1yo/edit?usp=sharing"",""น่าน!I317"")"),90)</f>
        <v>90</v>
      </c>
      <c r="J422" s="391">
        <f ca="1">IFERROR(__xludf.DUMMYFUNCTION("IMPORTRANGE(""https://docs.google.com/spreadsheets/d/11923uPwbBZFjjGgGUA6NLw09EwE0CqkOc4q9oUmW1yo/edit?usp=sharing"",""น่าน!J317"")"),0)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IFERROR(__xludf.DUMMYFUNCTION("IMPORTRANGE(""https://docs.google.com/spreadsheets/d/11923uPwbBZFjjGgGUA6NLw09EwE0CqkOc4q9oUmW1yo/edit?usp=sharing"",""น่าน!I318"")"),30)</f>
        <v>30</v>
      </c>
      <c r="J423" s="392">
        <f ca="1">IFERROR(__xludf.DUMMYFUNCTION("IMPORTRANGE(""https://docs.google.com/spreadsheets/d/11923uPwbBZFjjGgGUA6NLw09EwE0CqkOc4q9oUmW1yo/edit?usp=sharing"",""น่าน!J318"")"),0)</f>
        <v>0</v>
      </c>
      <c r="K423" s="163">
        <f t="shared" ca="1" si="113"/>
        <v>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IFERROR(__xludf.DUMMYFUNCTION("IMPORTRANGE(""https://docs.google.com/spreadsheets/d/11923uPwbBZFjjGgGUA6NLw09EwE0CqkOc4q9oUmW1yo/edit?usp=sharing"",""น่าน!I319"")"),30)</f>
        <v>30</v>
      </c>
      <c r="J424" s="392">
        <f ca="1">IFERROR(__xludf.DUMMYFUNCTION("IMPORTRANGE(""https://docs.google.com/spreadsheets/d/11923uPwbBZFjjGgGUA6NLw09EwE0CqkOc4q9oUmW1yo/edit?usp=sharing"",""น่าน!J319"")"),0)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IFERROR(__xludf.DUMMYFUNCTION("IMPORTRANGE(""https://docs.google.com/spreadsheets/d/11923uPwbBZFjjGgGUA6NLw09EwE0CqkOc4q9oUmW1yo/edit?usp=sharing"",""น่าน!I320"")"),30)</f>
        <v>30</v>
      </c>
      <c r="J425" s="392">
        <f ca="1">IFERROR(__xludf.DUMMYFUNCTION("IMPORTRANGE(""https://docs.google.com/spreadsheets/d/11923uPwbBZFjjGgGUA6NLw09EwE0CqkOc4q9oUmW1yo/edit?usp=sharing"",""น่าน!J320"")"),0)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IFERROR(__xludf.DUMMYFUNCTION("IMPORTRANGE(""https://docs.google.com/spreadsheets/d/11923uPwbBZFjjGgGUA6NLw09EwE0CqkOc4q9oUmW1yo/edit?usp=sharing"",""น่าน!I321"")"),10)</f>
        <v>10</v>
      </c>
      <c r="J426" s="390">
        <f ca="1">IFERROR(__xludf.DUMMYFUNCTION("IMPORTRANGE(""https://docs.google.com/spreadsheets/d/11923uPwbBZFjjGgGUA6NLw09EwE0CqkOc4q9oUmW1yo/edit?usp=sharing"",""น่าน!J321"")"),0)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IFERROR(__xludf.DUMMYFUNCTION("IMPORTRANGE(""https://docs.google.com/spreadsheets/d/11923uPwbBZFjjGgGUA6NLw09EwE0CqkOc4q9oUmW1yo/edit?usp=sharing"",""น่าน!I322"")"),30)</f>
        <v>30</v>
      </c>
      <c r="J427" s="391">
        <f ca="1">IFERROR(__xludf.DUMMYFUNCTION("IMPORTRANGE(""https://docs.google.com/spreadsheets/d/11923uPwbBZFjjGgGUA6NLw09EwE0CqkOc4q9oUmW1yo/edit?usp=sharing"",""น่าน!J322"")"),0)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IFERROR(__xludf.DUMMYFUNCTION("IMPORTRANGE(""https://docs.google.com/spreadsheets/d/11923uPwbBZFjjGgGUA6NLw09EwE0CqkOc4q9oUmW1yo/edit?usp=sharing"",""น่าน!I323"")"),10)</f>
        <v>10</v>
      </c>
      <c r="J428" s="392">
        <f ca="1">IFERROR(__xludf.DUMMYFUNCTION("IMPORTRANGE(""https://docs.google.com/spreadsheets/d/11923uPwbBZFjjGgGUA6NLw09EwE0CqkOc4q9oUmW1yo/edit?usp=sharing"",""น่าน!J323"")"),0)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IFERROR(__xludf.DUMMYFUNCTION("IMPORTRANGE(""https://docs.google.com/spreadsheets/d/11923uPwbBZFjjGgGUA6NLw09EwE0CqkOc4q9oUmW1yo/edit?usp=sharing"",""น่าน!I324"")"),10)</f>
        <v>10</v>
      </c>
      <c r="J429" s="392">
        <f ca="1">IFERROR(__xludf.DUMMYFUNCTION("IMPORTRANGE(""https://docs.google.com/spreadsheets/d/11923uPwbBZFjjGgGUA6NLw09EwE0CqkOc4q9oUmW1yo/edit?usp=sharing"",""น่าน!J324"")"),0)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IFERROR(__xludf.DUMMYFUNCTION("IMPORTRANGE(""https://docs.google.com/spreadsheets/d/11923uPwbBZFjjGgGUA6NLw09EwE0CqkOc4q9oUmW1yo/edit?usp=sharing"",""น่าน!I325"")"),40)</f>
        <v>40</v>
      </c>
      <c r="J430" s="390">
        <f ca="1">IFERROR(__xludf.DUMMYFUNCTION("IMPORTRANGE(""https://docs.google.com/spreadsheets/d/11923uPwbBZFjjGgGUA6NLw09EwE0CqkOc4q9oUmW1yo/edit?usp=sharing"",""น่าน!J325"")"),0)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IFERROR(__xludf.DUMMYFUNCTION("IMPORTRANGE(""https://docs.google.com/spreadsheets/d/11923uPwbBZFjjGgGUA6NLw09EwE0CqkOc4q9oUmW1yo/edit?usp=sharing"",""น่าน!I326"")"),10)</f>
        <v>10</v>
      </c>
      <c r="J431" s="392">
        <f ca="1">IFERROR(__xludf.DUMMYFUNCTION("IMPORTRANGE(""https://docs.google.com/spreadsheets/d/11923uPwbBZFjjGgGUA6NLw09EwE0CqkOc4q9oUmW1yo/edit?usp=sharing"",""น่าน!J326"")"),0)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IFERROR(__xludf.DUMMYFUNCTION("IMPORTRANGE(""https://docs.google.com/spreadsheets/d/11923uPwbBZFjjGgGUA6NLw09EwE0CqkOc4q9oUmW1yo/edit?usp=sharing"",""น่าน!I327"")"),30)</f>
        <v>30</v>
      </c>
      <c r="J432" s="392">
        <f ca="1">IFERROR(__xludf.DUMMYFUNCTION("IMPORTRANGE(""https://docs.google.com/spreadsheets/d/11923uPwbBZFjjGgGUA6NLw09EwE0CqkOc4q9oUmW1yo/edit?usp=sharing"",""น่าน!J327"")"),0)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IFERROR(__xludf.DUMMYFUNCTION("IMPORTRANGE(""https://docs.google.com/spreadsheets/d/11923uPwbBZFjjGgGUA6NLw09EwE0CqkOc4q9oUmW1yo/edit?usp=sharing"",""น่าน!J328"")"),0)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IFERROR(__xludf.DUMMYFUNCTION("IMPORTRANGE(""https://docs.google.com/spreadsheets/d/11923uPwbBZFjjGgGUA6NLw09EwE0CqkOc4q9oUmW1yo/edit?usp=sharing"",""น่าน!J329"")"),0)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IFERROR(__xludf.DUMMYFUNCTION("IMPORTRANGE(""https://docs.google.com/spreadsheets/d/11923uPwbBZFjjGgGUA6NLw09EwE0CqkOc4q9oUmW1yo/edit?usp=sharing"",""น่าน!I330"")"),35)</f>
        <v>35</v>
      </c>
      <c r="J435" s="408">
        <f ca="1">IFERROR(__xludf.DUMMYFUNCTION("IMPORTRANGE(""https://docs.google.com/spreadsheets/d/11923uPwbBZFjjGgGUA6NLw09EwE0CqkOc4q9oUmW1yo/edit?usp=sharing"",""น่าน!J330"")"),35)</f>
        <v>35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IFERROR(__xludf.DUMMYFUNCTION("IMPORTRANGE(""https://docs.google.com/spreadsheets/d/11923uPwbBZFjjGgGUA6NLw09EwE0CqkOc4q9oUmW1yo/edit?usp=sharing"",""น่าน!L330"")"),128800)</f>
        <v>128800</v>
      </c>
      <c r="M435" s="410"/>
      <c r="N435" s="410">
        <f ca="1">IFERROR(__xludf.DUMMYFUNCTION("IMPORTRANGE(""https://docs.google.com/spreadsheets/d/11923uPwbBZFjjGgGUA6NLw09EwE0CqkOc4q9oUmW1yo/edit?usp=sharing"",""น่าน!M330"")"),55695)</f>
        <v>55695</v>
      </c>
      <c r="O435" s="410">
        <f t="shared" ref="O435:O439" ca="1" si="114">+IF(L435&gt;0,N435*100/L435,0)</f>
        <v>43.241459627329192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IFERROR(__xludf.DUMMYFUNCTION("IMPORTRANGE(""https://docs.google.com/spreadsheets/d/11923uPwbBZFjjGgGUA6NLw09EwE0CqkOc4q9oUmW1yo/edit?usp=sharing"",""น่าน!L331"")"),0)</f>
        <v>0</v>
      </c>
      <c r="M436" s="164"/>
      <c r="N436" s="168">
        <f ca="1">IFERROR(__xludf.DUMMYFUNCTION("IMPORTRANGE(""https://docs.google.com/spreadsheets/d/11923uPwbBZFjjGgGUA6NLw09EwE0CqkOc4q9oUmW1yo/edit?usp=sharing"",""น่าน!M331"")"),0)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IFERROR(__xludf.DUMMYFUNCTION("IMPORTRANGE(""https://docs.google.com/spreadsheets/d/11923uPwbBZFjjGgGUA6NLw09EwE0CqkOc4q9oUmW1yo/edit?usp=sharing"",""น่าน!L332"")"),128800)</f>
        <v>128800</v>
      </c>
      <c r="M437" s="165"/>
      <c r="N437" s="168">
        <f ca="1">IFERROR(__xludf.DUMMYFUNCTION("IMPORTRANGE(""https://docs.google.com/spreadsheets/d/11923uPwbBZFjjGgGUA6NLw09EwE0CqkOc4q9oUmW1yo/edit?usp=sharing"",""น่าน!M332"")"),55695)</f>
        <v>55695</v>
      </c>
      <c r="O437" s="168">
        <f t="shared" ca="1" si="114"/>
        <v>43.241459627329192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IFERROR(__xludf.DUMMYFUNCTION("IMPORTRANGE(""https://docs.google.com/spreadsheets/d/11923uPwbBZFjjGgGUA6NLw09EwE0CqkOc4q9oUmW1yo/edit?usp=sharing"",""น่าน!L333"")"),0)</f>
        <v>0</v>
      </c>
      <c r="M438" s="168"/>
      <c r="N438" s="168">
        <f ca="1">IFERROR(__xludf.DUMMYFUNCTION("IMPORTRANGE(""https://docs.google.com/spreadsheets/d/11923uPwbBZFjjGgGUA6NLw09EwE0CqkOc4q9oUmW1yo/edit?usp=sharing"",""น่าน!M333"")"),0)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IFERROR(__xludf.DUMMYFUNCTION("IMPORTRANGE(""https://docs.google.com/spreadsheets/d/11923uPwbBZFjjGgGUA6NLw09EwE0CqkOc4q9oUmW1yo/edit?usp=sharing"",""น่าน!L334"")"),128800)</f>
        <v>128800</v>
      </c>
      <c r="M439" s="168"/>
      <c r="N439" s="168">
        <f ca="1">IFERROR(__xludf.DUMMYFUNCTION("IMPORTRANGE(""https://docs.google.com/spreadsheets/d/11923uPwbBZFjjGgGUA6NLw09EwE0CqkOc4q9oUmW1yo/edit?usp=sharing"",""น่าน!M334"")"),55695)</f>
        <v>55695</v>
      </c>
      <c r="O439" s="168">
        <f t="shared" ca="1" si="114"/>
        <v>43.241459627329192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IFERROR(__xludf.DUMMYFUNCTION("IMPORTRANGE(""https://docs.google.com/spreadsheets/d/11923uPwbBZFjjGgGUA6NLw09EwE0CqkOc4q9oUmW1yo/edit?usp=sharing"",""น่าน!M335"")"),47815)</f>
        <v>47815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IFERROR(__xludf.DUMMYFUNCTION("IMPORTRANGE(""https://docs.google.com/spreadsheets/d/11923uPwbBZFjjGgGUA6NLw09EwE0CqkOc4q9oUmW1yo/edit?usp=sharing"",""น่าน!M336"")"),0)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IFERROR(__xludf.DUMMYFUNCTION("IMPORTRANGE(""https://docs.google.com/spreadsheets/d/11923uPwbBZFjjGgGUA6NLw09EwE0CqkOc4q9oUmW1yo/edit?usp=sharing"",""น่าน!M337"")"),0)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IFERROR(__xludf.DUMMYFUNCTION("IMPORTRANGE(""https://docs.google.com/spreadsheets/d/11923uPwbBZFjjGgGUA6NLw09EwE0CqkOc4q9oUmW1yo/edit?usp=sharing"",""น่าน!M338"")"),7880)</f>
        <v>7880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IFERROR(__xludf.DUMMYFUNCTION("IMPORTRANGE(""https://docs.google.com/spreadsheets/d/11923uPwbBZFjjGgGUA6NLw09EwE0CqkOc4q9oUmW1yo/edit?usp=sharing"",""น่าน!J340"")"),0)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IFERROR(__xludf.DUMMYFUNCTION("IMPORTRANGE(""https://docs.google.com/spreadsheets/d/11923uPwbBZFjjGgGUA6NLw09EwE0CqkOc4q9oUmW1yo/edit?usp=sharing"",""น่าน!J341"")"),1)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IFERROR(__xludf.DUMMYFUNCTION("IMPORTRANGE(""https://docs.google.com/spreadsheets/d/11923uPwbBZFjjGgGUA6NLw09EwE0CqkOc4q9oUmW1yo/edit?usp=sharing"",""น่าน!J342"")"),1)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IFERROR(__xludf.DUMMYFUNCTION("IMPORTRANGE(""https://docs.google.com/spreadsheets/d/11923uPwbBZFjjGgGUA6NLw09EwE0CqkOc4q9oUmW1yo/edit?usp=sharing"",""น่าน!J343"")"),1)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IFERROR(__xludf.DUMMYFUNCTION("IMPORTRANGE(""https://docs.google.com/spreadsheets/d/11923uPwbBZFjjGgGUA6NLw09EwE0CqkOc4q9oUmW1yo/edit?usp=sharing"",""น่าน!I344"")"),35)</f>
        <v>35</v>
      </c>
      <c r="J449" s="200">
        <f ca="1">IFERROR(__xludf.DUMMYFUNCTION("IMPORTRANGE(""https://docs.google.com/spreadsheets/d/11923uPwbBZFjjGgGUA6NLw09EwE0CqkOc4q9oUmW1yo/edit?usp=sharing"",""น่าน!J344"")"),35)</f>
        <v>35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IFERROR(__xludf.DUMMYFUNCTION("IMPORTRANGE(""https://docs.google.com/spreadsheets/d/11923uPwbBZFjjGgGUA6NLw09EwE0CqkOc4q9oUmW1yo/edit?usp=sharing"",""น่าน!I345"")"),15)</f>
        <v>15</v>
      </c>
      <c r="J450" s="188">
        <f ca="1">IFERROR(__xludf.DUMMYFUNCTION("IMPORTRANGE(""https://docs.google.com/spreadsheets/d/11923uPwbBZFjjGgGUA6NLw09EwE0CqkOc4q9oUmW1yo/edit?usp=sharing"",""น่าน!J345"")"),15)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IFERROR(__xludf.DUMMYFUNCTION("IMPORTRANGE(""https://docs.google.com/spreadsheets/d/11923uPwbBZFjjGgGUA6NLw09EwE0CqkOc4q9oUmW1yo/edit?usp=sharing"",""น่าน!I346"")"),20)</f>
        <v>20</v>
      </c>
      <c r="J451" s="187">
        <f ca="1">IFERROR(__xludf.DUMMYFUNCTION("IMPORTRANGE(""https://docs.google.com/spreadsheets/d/11923uPwbBZFjjGgGUA6NLw09EwE0CqkOc4q9oUmW1yo/edit?usp=sharing"",""น่าน!J346"")"),20)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IFERROR(__xludf.DUMMYFUNCTION("IMPORTRANGE(""https://docs.google.com/spreadsheets/d/11923uPwbBZFjjGgGUA6NLw09EwE0CqkOc4q9oUmW1yo/edit?usp=sharing"",""น่าน!I347"")"),0)</f>
        <v>0</v>
      </c>
      <c r="J452" s="187">
        <f ca="1">IFERROR(__xludf.DUMMYFUNCTION("IMPORTRANGE(""https://docs.google.com/spreadsheets/d/11923uPwbBZFjjGgGUA6NLw09EwE0CqkOc4q9oUmW1yo/edit?usp=sharing"",""น่าน!J347"")"),0)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IFERROR(__xludf.DUMMYFUNCTION("IMPORTRANGE(""https://docs.google.com/spreadsheets/d/11923uPwbBZFjjGgGUA6NLw09EwE0CqkOc4q9oUmW1yo/edit?usp=sharing"",""น่าน!J348"")"),0)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IFERROR(__xludf.DUMMYFUNCTION("IMPORTRANGE(""https://docs.google.com/spreadsheets/d/11923uPwbBZFjjGgGUA6NLw09EwE0CqkOc4q9oUmW1yo/edit?usp=sharing"",""น่าน!J349"")"),0)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IFERROR(__xludf.DUMMYFUNCTION("IMPORTRANGE(""https://docs.google.com/spreadsheets/d/11923uPwbBZFjjGgGUA6NLw09EwE0CqkOc4q9oUmW1yo/edit?usp=sharing"",""น่าน!I350"")"),56567)</f>
        <v>56567</v>
      </c>
      <c r="J455" s="369">
        <f ca="1">IFERROR(__xludf.DUMMYFUNCTION("IMPORTRANGE(""https://docs.google.com/spreadsheets/d/11923uPwbBZFjjGgGUA6NLw09EwE0CqkOc4q9oUmW1yo/edit?usp=sharing"",""น่าน!J350"")"),0)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IFERROR(__xludf.DUMMYFUNCTION("IMPORTRANGE(""https://docs.google.com/spreadsheets/d/11923uPwbBZFjjGgGUA6NLw09EwE0CqkOc4q9oUmW1yo/edit?usp=sharing"",""น่าน!L350"")"),611754)</f>
        <v>611754</v>
      </c>
      <c r="M455" s="371"/>
      <c r="N455" s="371">
        <f ca="1">IFERROR(__xludf.DUMMYFUNCTION("IMPORTRANGE(""https://docs.google.com/spreadsheets/d/11923uPwbBZFjjGgGUA6NLw09EwE0CqkOc4q9oUmW1yo/edit?usp=sharing"",""น่าน!M350"")"),56516)</f>
        <v>56516</v>
      </c>
      <c r="O455" s="371">
        <f t="shared" ref="O455:O459" ca="1" si="116">+IF(L455&gt;0,N455*100/L455,0)</f>
        <v>9.2383539788869378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IFERROR(__xludf.DUMMYFUNCTION("IMPORTRANGE(""https://docs.google.com/spreadsheets/d/11923uPwbBZFjjGgGUA6NLw09EwE0CqkOc4q9oUmW1yo/edit?usp=sharing"",""น่าน!L351"")"),0)</f>
        <v>0</v>
      </c>
      <c r="M456" s="164"/>
      <c r="N456" s="168">
        <f ca="1">IFERROR(__xludf.DUMMYFUNCTION("IMPORTRANGE(""https://docs.google.com/spreadsheets/d/11923uPwbBZFjjGgGUA6NLw09EwE0CqkOc4q9oUmW1yo/edit?usp=sharing"",""น่าน!M351"")"),0)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IFERROR(__xludf.DUMMYFUNCTION("IMPORTRANGE(""https://docs.google.com/spreadsheets/d/11923uPwbBZFjjGgGUA6NLw09EwE0CqkOc4q9oUmW1yo/edit?usp=sharing"",""น่าน!L352"")"),611754)</f>
        <v>611754</v>
      </c>
      <c r="M457" s="165"/>
      <c r="N457" s="168">
        <f ca="1">IFERROR(__xludf.DUMMYFUNCTION("IMPORTRANGE(""https://docs.google.com/spreadsheets/d/11923uPwbBZFjjGgGUA6NLw09EwE0CqkOc4q9oUmW1yo/edit?usp=sharing"",""น่าน!M352"")"),56516)</f>
        <v>56516</v>
      </c>
      <c r="O457" s="168">
        <f t="shared" ca="1" si="116"/>
        <v>9.2383539788869378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IFERROR(__xludf.DUMMYFUNCTION("IMPORTRANGE(""https://docs.google.com/spreadsheets/d/11923uPwbBZFjjGgGUA6NLw09EwE0CqkOc4q9oUmW1yo/edit?usp=sharing"",""น่าน!L353"")"),0)</f>
        <v>0</v>
      </c>
      <c r="M458" s="168"/>
      <c r="N458" s="168">
        <f ca="1">IFERROR(__xludf.DUMMYFUNCTION("IMPORTRANGE(""https://docs.google.com/spreadsheets/d/11923uPwbBZFjjGgGUA6NLw09EwE0CqkOc4q9oUmW1yo/edit?usp=sharing"",""น่าน!M353"")"),0)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IFERROR(__xludf.DUMMYFUNCTION("IMPORTRANGE(""https://docs.google.com/spreadsheets/d/11923uPwbBZFjjGgGUA6NLw09EwE0CqkOc4q9oUmW1yo/edit?usp=sharing"",""น่าน!L354"")"),611754)</f>
        <v>611754</v>
      </c>
      <c r="M459" s="168"/>
      <c r="N459" s="168">
        <f ca="1">IFERROR(__xludf.DUMMYFUNCTION("IMPORTRANGE(""https://docs.google.com/spreadsheets/d/11923uPwbBZFjjGgGUA6NLw09EwE0CqkOc4q9oUmW1yo/edit?usp=sharing"",""น่าน!M354"")"),56516)</f>
        <v>56516</v>
      </c>
      <c r="O459" s="168">
        <f t="shared" ca="1" si="116"/>
        <v>9.2383539788869378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IFERROR(__xludf.DUMMYFUNCTION("IMPORTRANGE(""https://docs.google.com/spreadsheets/d/11923uPwbBZFjjGgGUA6NLw09EwE0CqkOc4q9oUmW1yo/edit?usp=sharing"",""น่าน!M355"")"),0)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IFERROR(__xludf.DUMMYFUNCTION("IMPORTRANGE(""https://docs.google.com/spreadsheets/d/11923uPwbBZFjjGgGUA6NLw09EwE0CqkOc4q9oUmW1yo/edit?usp=sharing"",""น่าน!M356"")"),0)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IFERROR(__xludf.DUMMYFUNCTION("IMPORTRANGE(""https://docs.google.com/spreadsheets/d/11923uPwbBZFjjGgGUA6NLw09EwE0CqkOc4q9oUmW1yo/edit?usp=sharing"",""น่าน!M357"")"),42516)</f>
        <v>42516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IFERROR(__xludf.DUMMYFUNCTION("IMPORTRANGE(""https://docs.google.com/spreadsheets/d/11923uPwbBZFjjGgGUA6NLw09EwE0CqkOc4q9oUmW1yo/edit?usp=sharing"",""น่าน!M358"")"),14000)</f>
        <v>14000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IFERROR(__xludf.DUMMYFUNCTION("IMPORTRANGE(""https://docs.google.com/spreadsheets/d/11923uPwbBZFjjGgGUA6NLw09EwE0CqkOc4q9oUmW1yo/edit?usp=sharing"",""น่าน!I359"")"),56567)</f>
        <v>56567</v>
      </c>
      <c r="J464" s="266">
        <f ca="1">IFERROR(__xludf.DUMMYFUNCTION("IMPORTRANGE(""https://docs.google.com/spreadsheets/d/11923uPwbBZFjjGgGUA6NLw09EwE0CqkOc4q9oUmW1yo/edit?usp=sharing"",""น่าน!J359"")"),0)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IFERROR(__xludf.DUMMYFUNCTION("IMPORTRANGE(""https://docs.google.com/spreadsheets/d/11923uPwbBZFjjGgGUA6NLw09EwE0CqkOc4q9oUmW1yo/edit?usp=sharing"",""น่าน!I360"")"),56567)</f>
        <v>56567</v>
      </c>
      <c r="J465" s="418">
        <f ca="1">IFERROR(__xludf.DUMMYFUNCTION("IMPORTRANGE(""https://docs.google.com/spreadsheets/d/11923uPwbBZFjjGgGUA6NLw09EwE0CqkOc4q9oUmW1yo/edit?usp=sharing"",""น่าน!J360"")"),56524)</f>
        <v>56524</v>
      </c>
      <c r="K465" s="201">
        <f t="shared" ca="1" si="117"/>
        <v>99.923983948238373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IFERROR(__xludf.DUMMYFUNCTION("IMPORTRANGE(""https://docs.google.com/spreadsheets/d/11923uPwbBZFjjGgGUA6NLw09EwE0CqkOc4q9oUmW1yo/edit?usp=sharing"",""น่าน!I361"")"),9077)</f>
        <v>9077</v>
      </c>
      <c r="J466" s="418">
        <f ca="1">IFERROR(__xludf.DUMMYFUNCTION("IMPORTRANGE(""https://docs.google.com/spreadsheets/d/11923uPwbBZFjjGgGUA6NLw09EwE0CqkOc4q9oUmW1yo/edit?usp=sharing"",""น่าน!J361"")"),9057)</f>
        <v>9057</v>
      </c>
      <c r="K466" s="201">
        <f t="shared" ca="1" si="117"/>
        <v>99.77966288421284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IFERROR(__xludf.DUMMYFUNCTION("IMPORTRANGE(""https://docs.google.com/spreadsheets/d/11923uPwbBZFjjGgGUA6NLw09EwE0CqkOc4q9oUmW1yo/edit?usp=sharing"",""น่าน!I362"")"),0)</f>
        <v>0</v>
      </c>
      <c r="J467" s="188">
        <f ca="1">IFERROR(__xludf.DUMMYFUNCTION("IMPORTRANGE(""https://docs.google.com/spreadsheets/d/11923uPwbBZFjjGgGUA6NLw09EwE0CqkOc4q9oUmW1yo/edit?usp=sharing"",""น่าน!J362"")"),52627)</f>
        <v>52627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IFERROR(__xludf.DUMMYFUNCTION("IMPORTRANGE(""https://docs.google.com/spreadsheets/d/11923uPwbBZFjjGgGUA6NLw09EwE0CqkOc4q9oUmW1yo/edit?usp=sharing"",""น่าน!I363"")"),0)</f>
        <v>0</v>
      </c>
      <c r="J468" s="188">
        <f ca="1">IFERROR(__xludf.DUMMYFUNCTION("IMPORTRANGE(""https://docs.google.com/spreadsheets/d/11923uPwbBZFjjGgGUA6NLw09EwE0CqkOc4q9oUmW1yo/edit?usp=sharing"",""น่าน!J363"")"),8589)</f>
        <v>8589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IFERROR(__xludf.DUMMYFUNCTION("IMPORTRANGE(""https://docs.google.com/spreadsheets/d/11923uPwbBZFjjGgGUA6NLw09EwE0CqkOc4q9oUmW1yo/edit?usp=sharing"",""น่าน!I364"")"),0)</f>
        <v>0</v>
      </c>
      <c r="J469" s="188">
        <f ca="1">IFERROR(__xludf.DUMMYFUNCTION("IMPORTRANGE(""https://docs.google.com/spreadsheets/d/11923uPwbBZFjjGgGUA6NLw09EwE0CqkOc4q9oUmW1yo/edit?usp=sharing"",""น่าน!J364"")"),3269)</f>
        <v>3269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IFERROR(__xludf.DUMMYFUNCTION("IMPORTRANGE(""https://docs.google.com/spreadsheets/d/11923uPwbBZFjjGgGUA6NLw09EwE0CqkOc4q9oUmW1yo/edit?usp=sharing"",""น่าน!I365"")"),0)</f>
        <v>0</v>
      </c>
      <c r="J470" s="188">
        <f ca="1">IFERROR(__xludf.DUMMYFUNCTION("IMPORTRANGE(""https://docs.google.com/spreadsheets/d/11923uPwbBZFjjGgGUA6NLw09EwE0CqkOc4q9oUmW1yo/edit?usp=sharing"",""น่าน!J365"")"),345)</f>
        <v>345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IFERROR(__xludf.DUMMYFUNCTION("IMPORTRANGE(""https://docs.google.com/spreadsheets/d/11923uPwbBZFjjGgGUA6NLw09EwE0CqkOc4q9oUmW1yo/edit?usp=sharing"",""น่าน!I366"")"),0)</f>
        <v>0</v>
      </c>
      <c r="J471" s="188">
        <f ca="1">IFERROR(__xludf.DUMMYFUNCTION("IMPORTRANGE(""https://docs.google.com/spreadsheets/d/11923uPwbBZFjjGgGUA6NLw09EwE0CqkOc4q9oUmW1yo/edit?usp=sharing"",""น่าน!J366"")"),628)</f>
        <v>628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IFERROR(__xludf.DUMMYFUNCTION("IMPORTRANGE(""https://docs.google.com/spreadsheets/d/11923uPwbBZFjjGgGUA6NLw09EwE0CqkOc4q9oUmW1yo/edit?usp=sharing"",""น่าน!I367"")"),0)</f>
        <v>0</v>
      </c>
      <c r="J472" s="188">
        <f ca="1">IFERROR(__xludf.DUMMYFUNCTION("IMPORTRANGE(""https://docs.google.com/spreadsheets/d/11923uPwbBZFjjGgGUA6NLw09EwE0CqkOc4q9oUmW1yo/edit?usp=sharing"",""น่าน!J367"")"),123)</f>
        <v>123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IFERROR(__xludf.DUMMYFUNCTION("IMPORTRANGE(""https://docs.google.com/spreadsheets/d/11923uPwbBZFjjGgGUA6NLw09EwE0CqkOc4q9oUmW1yo/edit?usp=sharing"",""น่าน!I368"")"),56567)</f>
        <v>56567</v>
      </c>
      <c r="J473" s="418">
        <f ca="1">IFERROR(__xludf.DUMMYFUNCTION("IMPORTRANGE(""https://docs.google.com/spreadsheets/d/11923uPwbBZFjjGgGUA6NLw09EwE0CqkOc4q9oUmW1yo/edit?usp=sharing"",""น่าน!J368"")"),0)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IFERROR(__xludf.DUMMYFUNCTION("IMPORTRANGE(""https://docs.google.com/spreadsheets/d/11923uPwbBZFjjGgGUA6NLw09EwE0CqkOc4q9oUmW1yo/edit?usp=sharing"",""น่าน!I369"")"),9077)</f>
        <v>9077</v>
      </c>
      <c r="J474" s="418">
        <f ca="1">IFERROR(__xludf.DUMMYFUNCTION("IMPORTRANGE(""https://docs.google.com/spreadsheets/d/11923uPwbBZFjjGgGUA6NLw09EwE0CqkOc4q9oUmW1yo/edit?usp=sharing"",""น่าน!J369"")"),0)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IFERROR(__xludf.DUMMYFUNCTION("IMPORTRANGE(""https://docs.google.com/spreadsheets/d/11923uPwbBZFjjGgGUA6NLw09EwE0CqkOc4q9oUmW1yo/edit?usp=sharing"",""น่าน!I370"")"),0)</f>
        <v>0</v>
      </c>
      <c r="J475" s="188">
        <f ca="1">IFERROR(__xludf.DUMMYFUNCTION("IMPORTRANGE(""https://docs.google.com/spreadsheets/d/11923uPwbBZFjjGgGUA6NLw09EwE0CqkOc4q9oUmW1yo/edit?usp=sharing"",""น่าน!J370"")"),0)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IFERROR(__xludf.DUMMYFUNCTION("IMPORTRANGE(""https://docs.google.com/spreadsheets/d/11923uPwbBZFjjGgGUA6NLw09EwE0CqkOc4q9oUmW1yo/edit?usp=sharing"",""น่าน!I371"")"),0)</f>
        <v>0</v>
      </c>
      <c r="J476" s="188">
        <f ca="1">IFERROR(__xludf.DUMMYFUNCTION("IMPORTRANGE(""https://docs.google.com/spreadsheets/d/11923uPwbBZFjjGgGUA6NLw09EwE0CqkOc4q9oUmW1yo/edit?usp=sharing"",""น่าน!J371"")"),0)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IFERROR(__xludf.DUMMYFUNCTION("IMPORTRANGE(""https://docs.google.com/spreadsheets/d/11923uPwbBZFjjGgGUA6NLw09EwE0CqkOc4q9oUmW1yo/edit?usp=sharing"",""น่าน!I372"")"),0)</f>
        <v>0</v>
      </c>
      <c r="J477" s="188">
        <f ca="1">IFERROR(__xludf.DUMMYFUNCTION("IMPORTRANGE(""https://docs.google.com/spreadsheets/d/11923uPwbBZFjjGgGUA6NLw09EwE0CqkOc4q9oUmW1yo/edit?usp=sharing"",""น่าน!J372"")"),0)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IFERROR(__xludf.DUMMYFUNCTION("IMPORTRANGE(""https://docs.google.com/spreadsheets/d/11923uPwbBZFjjGgGUA6NLw09EwE0CqkOc4q9oUmW1yo/edit?usp=sharing"",""น่าน!I373"")"),0)</f>
        <v>0</v>
      </c>
      <c r="J478" s="188">
        <f ca="1">IFERROR(__xludf.DUMMYFUNCTION("IMPORTRANGE(""https://docs.google.com/spreadsheets/d/11923uPwbBZFjjGgGUA6NLw09EwE0CqkOc4q9oUmW1yo/edit?usp=sharing"",""น่าน!J373"")"),0)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IFERROR(__xludf.DUMMYFUNCTION("IMPORTRANGE(""https://docs.google.com/spreadsheets/d/11923uPwbBZFjjGgGUA6NLw09EwE0CqkOc4q9oUmW1yo/edit?usp=sharing"",""น่าน!I374"")"),0)</f>
        <v>0</v>
      </c>
      <c r="J479" s="188">
        <f ca="1">IFERROR(__xludf.DUMMYFUNCTION("IMPORTRANGE(""https://docs.google.com/spreadsheets/d/11923uPwbBZFjjGgGUA6NLw09EwE0CqkOc4q9oUmW1yo/edit?usp=sharing"",""น่าน!J374"")"),0)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IFERROR(__xludf.DUMMYFUNCTION("IMPORTRANGE(""https://docs.google.com/spreadsheets/d/11923uPwbBZFjjGgGUA6NLw09EwE0CqkOc4q9oUmW1yo/edit?usp=sharing"",""น่าน!I375"")"),0)</f>
        <v>0</v>
      </c>
      <c r="J480" s="188">
        <f ca="1">IFERROR(__xludf.DUMMYFUNCTION("IMPORTRANGE(""https://docs.google.com/spreadsheets/d/11923uPwbBZFjjGgGUA6NLw09EwE0CqkOc4q9oUmW1yo/edit?usp=sharing"",""น่าน!J375"")"),0)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IFERROR(__xludf.DUMMYFUNCTION("IMPORTRANGE(""https://docs.google.com/spreadsheets/d/11923uPwbBZFjjGgGUA6NLw09EwE0CqkOc4q9oUmW1yo/edit?usp=sharing"",""น่าน!I376"")"),56567)</f>
        <v>56567</v>
      </c>
      <c r="J481" s="418">
        <f ca="1">IFERROR(__xludf.DUMMYFUNCTION("IMPORTRANGE(""https://docs.google.com/spreadsheets/d/11923uPwbBZFjjGgGUA6NLw09EwE0CqkOc4q9oUmW1yo/edit?usp=sharing"",""น่าน!J376"")"),0)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IFERROR(__xludf.DUMMYFUNCTION("IMPORTRANGE(""https://docs.google.com/spreadsheets/d/11923uPwbBZFjjGgGUA6NLw09EwE0CqkOc4q9oUmW1yo/edit?usp=sharing"",""น่าน!I377"")"),9077)</f>
        <v>9077</v>
      </c>
      <c r="J482" s="418">
        <f ca="1">IFERROR(__xludf.DUMMYFUNCTION("IMPORTRANGE(""https://docs.google.com/spreadsheets/d/11923uPwbBZFjjGgGUA6NLw09EwE0CqkOc4q9oUmW1yo/edit?usp=sharing"",""น่าน!J377"")"),0)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IFERROR(__xludf.DUMMYFUNCTION("IMPORTRANGE(""https://docs.google.com/spreadsheets/d/11923uPwbBZFjjGgGUA6NLw09EwE0CqkOc4q9oUmW1yo/edit?usp=sharing"",""น่าน!I378"")"),0)</f>
        <v>0</v>
      </c>
      <c r="J483" s="188">
        <f ca="1">IFERROR(__xludf.DUMMYFUNCTION("IMPORTRANGE(""https://docs.google.com/spreadsheets/d/11923uPwbBZFjjGgGUA6NLw09EwE0CqkOc4q9oUmW1yo/edit?usp=sharing"",""น่าน!J378"")"),0)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IFERROR(__xludf.DUMMYFUNCTION("IMPORTRANGE(""https://docs.google.com/spreadsheets/d/11923uPwbBZFjjGgGUA6NLw09EwE0CqkOc4q9oUmW1yo/edit?usp=sharing"",""น่าน!I379"")"),0)</f>
        <v>0</v>
      </c>
      <c r="J484" s="188">
        <f ca="1">IFERROR(__xludf.DUMMYFUNCTION("IMPORTRANGE(""https://docs.google.com/spreadsheets/d/11923uPwbBZFjjGgGUA6NLw09EwE0CqkOc4q9oUmW1yo/edit?usp=sharing"",""น่าน!J379"")"),0)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IFERROR(__xludf.DUMMYFUNCTION("IMPORTRANGE(""https://docs.google.com/spreadsheets/d/11923uPwbBZFjjGgGUA6NLw09EwE0CqkOc4q9oUmW1yo/edit?usp=sharing"",""น่าน!I380"")"),0)</f>
        <v>0</v>
      </c>
      <c r="J485" s="188">
        <f ca="1">IFERROR(__xludf.DUMMYFUNCTION("IMPORTRANGE(""https://docs.google.com/spreadsheets/d/11923uPwbBZFjjGgGUA6NLw09EwE0CqkOc4q9oUmW1yo/edit?usp=sharing"",""น่าน!J380"")"),0)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IFERROR(__xludf.DUMMYFUNCTION("IMPORTRANGE(""https://docs.google.com/spreadsheets/d/11923uPwbBZFjjGgGUA6NLw09EwE0CqkOc4q9oUmW1yo/edit?usp=sharing"",""น่าน!I381"")"),0)</f>
        <v>0</v>
      </c>
      <c r="J486" s="188">
        <f ca="1">IFERROR(__xludf.DUMMYFUNCTION("IMPORTRANGE(""https://docs.google.com/spreadsheets/d/11923uPwbBZFjjGgGUA6NLw09EwE0CqkOc4q9oUmW1yo/edit?usp=sharing"",""น่าน!J381"")"),0)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IFERROR(__xludf.DUMMYFUNCTION("IMPORTRANGE(""https://docs.google.com/spreadsheets/d/11923uPwbBZFjjGgGUA6NLw09EwE0CqkOc4q9oUmW1yo/edit?usp=sharing"",""น่าน!I382"")"),0)</f>
        <v>0</v>
      </c>
      <c r="J487" s="418">
        <f ca="1">IFERROR(__xludf.DUMMYFUNCTION("IMPORTRANGE(""https://docs.google.com/spreadsheets/d/11923uPwbBZFjjGgGUA6NLw09EwE0CqkOc4q9oUmW1yo/edit?usp=sharing"",""น่าน!J382"")"),0)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IFERROR(__xludf.DUMMYFUNCTION("IMPORTRANGE(""https://docs.google.com/spreadsheets/d/11923uPwbBZFjjGgGUA6NLw09EwE0CqkOc4q9oUmW1yo/edit?usp=sharing"",""น่าน!I383"")"),0)</f>
        <v>0</v>
      </c>
      <c r="J488" s="418">
        <f ca="1">IFERROR(__xludf.DUMMYFUNCTION("IMPORTRANGE(""https://docs.google.com/spreadsheets/d/11923uPwbBZFjjGgGUA6NLw09EwE0CqkOc4q9oUmW1yo/edit?usp=sharing"",""น่าน!J383"")"),0)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IFERROR(__xludf.DUMMYFUNCTION("IMPORTRANGE(""https://docs.google.com/spreadsheets/d/11923uPwbBZFjjGgGUA6NLw09EwE0CqkOc4q9oUmW1yo/edit?usp=sharing"",""น่าน!I384"")"),0)</f>
        <v>0</v>
      </c>
      <c r="J489" s="188">
        <f ca="1">IFERROR(__xludf.DUMMYFUNCTION("IMPORTRANGE(""https://docs.google.com/spreadsheets/d/11923uPwbBZFjjGgGUA6NLw09EwE0CqkOc4q9oUmW1yo/edit?usp=sharing"",""น่าน!J384"")"),0)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IFERROR(__xludf.DUMMYFUNCTION("IMPORTRANGE(""https://docs.google.com/spreadsheets/d/11923uPwbBZFjjGgGUA6NLw09EwE0CqkOc4q9oUmW1yo/edit?usp=sharing"",""น่าน!I385"")"),0)</f>
        <v>0</v>
      </c>
      <c r="J490" s="188">
        <f ca="1">IFERROR(__xludf.DUMMYFUNCTION("IMPORTRANGE(""https://docs.google.com/spreadsheets/d/11923uPwbBZFjjGgGUA6NLw09EwE0CqkOc4q9oUmW1yo/edit?usp=sharing"",""น่าน!J385"")"),0)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IFERROR(__xludf.DUMMYFUNCTION("IMPORTRANGE(""https://docs.google.com/spreadsheets/d/11923uPwbBZFjjGgGUA6NLw09EwE0CqkOc4q9oUmW1yo/edit?usp=sharing"",""น่าน!I386"")"),0)</f>
        <v>0</v>
      </c>
      <c r="J491" s="188">
        <f ca="1">IFERROR(__xludf.DUMMYFUNCTION("IMPORTRANGE(""https://docs.google.com/spreadsheets/d/11923uPwbBZFjjGgGUA6NLw09EwE0CqkOc4q9oUmW1yo/edit?usp=sharing"",""น่าน!J386"")"),0)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IFERROR(__xludf.DUMMYFUNCTION("IMPORTRANGE(""https://docs.google.com/spreadsheets/d/11923uPwbBZFjjGgGUA6NLw09EwE0CqkOc4q9oUmW1yo/edit?usp=sharing"",""น่าน!I387"")"),0)</f>
        <v>0</v>
      </c>
      <c r="J492" s="188">
        <f ca="1">IFERROR(__xludf.DUMMYFUNCTION("IMPORTRANGE(""https://docs.google.com/spreadsheets/d/11923uPwbBZFjjGgGUA6NLw09EwE0CqkOc4q9oUmW1yo/edit?usp=sharing"",""น่าน!J387"")"),0)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IFERROR(__xludf.DUMMYFUNCTION("IMPORTRANGE(""https://docs.google.com/spreadsheets/d/11923uPwbBZFjjGgGUA6NLw09EwE0CqkOc4q9oUmW1yo/edit?usp=sharing"",""น่าน!I388"")"),0)</f>
        <v>0</v>
      </c>
      <c r="J493" s="188">
        <f ca="1">IFERROR(__xludf.DUMMYFUNCTION("IMPORTRANGE(""https://docs.google.com/spreadsheets/d/11923uPwbBZFjjGgGUA6NLw09EwE0CqkOc4q9oUmW1yo/edit?usp=sharing"",""น่าน!J388"")"),0)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IFERROR(__xludf.DUMMYFUNCTION("IMPORTRANGE(""https://docs.google.com/spreadsheets/d/11923uPwbBZFjjGgGUA6NLw09EwE0CqkOc4q9oUmW1yo/edit?usp=sharing"",""น่าน!I389"")"),0)</f>
        <v>0</v>
      </c>
      <c r="J494" s="434">
        <f ca="1">IFERROR(__xludf.DUMMYFUNCTION("IMPORTRANGE(""https://docs.google.com/spreadsheets/d/11923uPwbBZFjjGgGUA6NLw09EwE0CqkOc4q9oUmW1yo/edit?usp=sharing"",""น่าน!J389"")"),0)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IFERROR(__xludf.DUMMYFUNCTION("IMPORTRANGE(""https://docs.google.com/spreadsheets/d/11923uPwbBZFjjGgGUA6NLw09EwE0CqkOc4q9oUmW1yo/edit?usp=sharing"",""น่าน!I390"")"),0)</f>
        <v>0</v>
      </c>
      <c r="J495" s="434">
        <f ca="1">IFERROR(__xludf.DUMMYFUNCTION("IMPORTRANGE(""https://docs.google.com/spreadsheets/d/11923uPwbBZFjjGgGUA6NLw09EwE0CqkOc4q9oUmW1yo/edit?usp=sharing"",""น่าน!J390"")"),0)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IFERROR(__xludf.DUMMYFUNCTION("IMPORTRANGE(""https://docs.google.com/spreadsheets/d/11923uPwbBZFjjGgGUA6NLw09EwE0CqkOc4q9oUmW1yo/edit?usp=sharing"",""น่าน!I391"")"),0)</f>
        <v>0</v>
      </c>
      <c r="J496" s="434">
        <f ca="1">IFERROR(__xludf.DUMMYFUNCTION("IMPORTRANGE(""https://docs.google.com/spreadsheets/d/11923uPwbBZFjjGgGUA6NLw09EwE0CqkOc4q9oUmW1yo/edit?usp=sharing"",""น่าน!J391"")"),0)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IFERROR(__xludf.DUMMYFUNCTION("IMPORTRANGE(""https://docs.google.com/spreadsheets/d/11923uPwbBZFjjGgGUA6NLw09EwE0CqkOc4q9oUmW1yo/edit?usp=sharing"",""น่าน!I392"")"),575)</f>
        <v>575</v>
      </c>
      <c r="J497" s="441">
        <f ca="1">IFERROR(__xludf.DUMMYFUNCTION("IMPORTRANGE(""https://docs.google.com/spreadsheets/d/11923uPwbBZFjjGgGUA6NLw09EwE0CqkOc4q9oUmW1yo/edit?usp=sharing"",""น่าน!J392"")"),0)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IFERROR(__xludf.DUMMYFUNCTION("IMPORTRANGE(""https://docs.google.com/spreadsheets/d/11923uPwbBZFjjGgGUA6NLw09EwE0CqkOc4q9oUmW1yo/edit?usp=sharing"",""น่าน!I393"")"),575)</f>
        <v>575</v>
      </c>
      <c r="J498" s="418">
        <f ca="1">IFERROR(__xludf.DUMMYFUNCTION("IMPORTRANGE(""https://docs.google.com/spreadsheets/d/11923uPwbBZFjjGgGUA6NLw09EwE0CqkOc4q9oUmW1yo/edit?usp=sharing"",""น่าน!J393"")"),0)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IFERROR(__xludf.DUMMYFUNCTION("IMPORTRANGE(""https://docs.google.com/spreadsheets/d/11923uPwbBZFjjGgGUA6NLw09EwE0CqkOc4q9oUmW1yo/edit?usp=sharing"",""น่าน!I394"")"),187)</f>
        <v>187</v>
      </c>
      <c r="J499" s="418">
        <f ca="1">IFERROR(__xludf.DUMMYFUNCTION("IMPORTRANGE(""https://docs.google.com/spreadsheets/d/11923uPwbBZFjjGgGUA6NLw09EwE0CqkOc4q9oUmW1yo/edit?usp=sharing"",""น่าน!J394"")"),0)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IFERROR(__xludf.DUMMYFUNCTION("IMPORTRANGE(""https://docs.google.com/spreadsheets/d/11923uPwbBZFjjGgGUA6NLw09EwE0CqkOc4q9oUmW1yo/edit?usp=sharing"",""น่าน!I395"")"),0)</f>
        <v>0</v>
      </c>
      <c r="J500" s="162">
        <f ca="1">IFERROR(__xludf.DUMMYFUNCTION("IMPORTRANGE(""https://docs.google.com/spreadsheets/d/11923uPwbBZFjjGgGUA6NLw09EwE0CqkOc4q9oUmW1yo/edit?usp=sharing"",""น่าน!J395"")"),0)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IFERROR(__xludf.DUMMYFUNCTION("IMPORTRANGE(""https://docs.google.com/spreadsheets/d/11923uPwbBZFjjGgGUA6NLw09EwE0CqkOc4q9oUmW1yo/edit?usp=sharing"",""น่าน!I396"")"),0)</f>
        <v>0</v>
      </c>
      <c r="J501" s="162">
        <f ca="1">IFERROR(__xludf.DUMMYFUNCTION("IMPORTRANGE(""https://docs.google.com/spreadsheets/d/11923uPwbBZFjjGgGUA6NLw09EwE0CqkOc4q9oUmW1yo/edit?usp=sharing"",""น่าน!J396"")"),0)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IFERROR(__xludf.DUMMYFUNCTION("IMPORTRANGE(""https://docs.google.com/spreadsheets/d/11923uPwbBZFjjGgGUA6NLw09EwE0CqkOc4q9oUmW1yo/edit?usp=sharing"",""น่าน!I397"")"),0)</f>
        <v>0</v>
      </c>
      <c r="J502" s="188">
        <f ca="1">IFERROR(__xludf.DUMMYFUNCTION("IMPORTRANGE(""https://docs.google.com/spreadsheets/d/11923uPwbBZFjjGgGUA6NLw09EwE0CqkOc4q9oUmW1yo/edit?usp=sharing"",""น่าน!J397"")"),0)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IFERROR(__xludf.DUMMYFUNCTION("IMPORTRANGE(""https://docs.google.com/spreadsheets/d/11923uPwbBZFjjGgGUA6NLw09EwE0CqkOc4q9oUmW1yo/edit?usp=sharing"",""น่าน!I398"")"),0)</f>
        <v>0</v>
      </c>
      <c r="J503" s="197">
        <f ca="1">IFERROR(__xludf.DUMMYFUNCTION("IMPORTRANGE(""https://docs.google.com/spreadsheets/d/11923uPwbBZFjjGgGUA6NLw09EwE0CqkOc4q9oUmW1yo/edit?usp=sharing"",""น่าน!J398"")"),0)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IFERROR(__xludf.DUMMYFUNCTION("IMPORTRANGE(""https://docs.google.com/spreadsheets/d/11923uPwbBZFjjGgGUA6NLw09EwE0CqkOc4q9oUmW1yo/edit?usp=sharing"",""น่าน!I399"")"),0)</f>
        <v>0</v>
      </c>
      <c r="J504" s="188">
        <f ca="1">IFERROR(__xludf.DUMMYFUNCTION("IMPORTRANGE(""https://docs.google.com/spreadsheets/d/11923uPwbBZFjjGgGUA6NLw09EwE0CqkOc4q9oUmW1yo/edit?usp=sharing"",""น่าน!J399"")"),0)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IFERROR(__xludf.DUMMYFUNCTION("IMPORTRANGE(""https://docs.google.com/spreadsheets/d/11923uPwbBZFjjGgGUA6NLw09EwE0CqkOc4q9oUmW1yo/edit?usp=sharing"",""น่าน!I400"")"),0)</f>
        <v>0</v>
      </c>
      <c r="J505" s="197">
        <f ca="1">IFERROR(__xludf.DUMMYFUNCTION("IMPORTRANGE(""https://docs.google.com/spreadsheets/d/11923uPwbBZFjjGgGUA6NLw09EwE0CqkOc4q9oUmW1yo/edit?usp=sharing"",""น่าน!J400"")"),0)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IFERROR(__xludf.DUMMYFUNCTION("IMPORTRANGE(""https://docs.google.com/spreadsheets/d/11923uPwbBZFjjGgGUA6NLw09EwE0CqkOc4q9oUmW1yo/edit?usp=sharing"",""น่าน!I401"")"),0)</f>
        <v>0</v>
      </c>
      <c r="J506" s="188">
        <f ca="1">IFERROR(__xludf.DUMMYFUNCTION("IMPORTRANGE(""https://docs.google.com/spreadsheets/d/11923uPwbBZFjjGgGUA6NLw09EwE0CqkOc4q9oUmW1yo/edit?usp=sharing"",""น่าน!J401"")"),0)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IFERROR(__xludf.DUMMYFUNCTION("IMPORTRANGE(""https://docs.google.com/spreadsheets/d/11923uPwbBZFjjGgGUA6NLw09EwE0CqkOc4q9oUmW1yo/edit?usp=sharing"",""น่าน!I402"")"),0)</f>
        <v>0</v>
      </c>
      <c r="J507" s="197">
        <f ca="1">IFERROR(__xludf.DUMMYFUNCTION("IMPORTRANGE(""https://docs.google.com/spreadsheets/d/11923uPwbBZFjjGgGUA6NLw09EwE0CqkOc4q9oUmW1yo/edit?usp=sharing"",""น่าน!J402"")"),0)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IFERROR(__xludf.DUMMYFUNCTION("IMPORTRANGE(""https://docs.google.com/spreadsheets/d/11923uPwbBZFjjGgGUA6NLw09EwE0CqkOc4q9oUmW1yo/edit?usp=sharing"",""น่าน!I403"")"),0)</f>
        <v>0</v>
      </c>
      <c r="J508" s="162">
        <f ca="1">IFERROR(__xludf.DUMMYFUNCTION("IMPORTRANGE(""https://docs.google.com/spreadsheets/d/11923uPwbBZFjjGgGUA6NLw09EwE0CqkOc4q9oUmW1yo/edit?usp=sharing"",""น่าน!J403"")"),0)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IFERROR(__xludf.DUMMYFUNCTION("IMPORTRANGE(""https://docs.google.com/spreadsheets/d/11923uPwbBZFjjGgGUA6NLw09EwE0CqkOc4q9oUmW1yo/edit?usp=sharing"",""น่าน!I404"")"),0)</f>
        <v>0</v>
      </c>
      <c r="J509" s="162">
        <f ca="1">IFERROR(__xludf.DUMMYFUNCTION("IMPORTRANGE(""https://docs.google.com/spreadsheets/d/11923uPwbBZFjjGgGUA6NLw09EwE0CqkOc4q9oUmW1yo/edit?usp=sharing"",""น่าน!J404"")"),0)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IFERROR(__xludf.DUMMYFUNCTION("IMPORTRANGE(""https://docs.google.com/spreadsheets/d/11923uPwbBZFjjGgGUA6NLw09EwE0CqkOc4q9oUmW1yo/edit?usp=sharing"",""น่าน!I405"")"),0)</f>
        <v>0</v>
      </c>
      <c r="J510" s="197">
        <f ca="1">IFERROR(__xludf.DUMMYFUNCTION("IMPORTRANGE(""https://docs.google.com/spreadsheets/d/11923uPwbBZFjjGgGUA6NLw09EwE0CqkOc4q9oUmW1yo/edit?usp=sharing"",""น่าน!J405"")"),0)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IFERROR(__xludf.DUMMYFUNCTION("IMPORTRANGE(""https://docs.google.com/spreadsheets/d/11923uPwbBZFjjGgGUA6NLw09EwE0CqkOc4q9oUmW1yo/edit?usp=sharing"",""น่าน!I406"")"),0)</f>
        <v>0</v>
      </c>
      <c r="J511" s="197">
        <f ca="1">IFERROR(__xludf.DUMMYFUNCTION("IMPORTRANGE(""https://docs.google.com/spreadsheets/d/11923uPwbBZFjjGgGUA6NLw09EwE0CqkOc4q9oUmW1yo/edit?usp=sharing"",""น่าน!J406"")"),0)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IFERROR(__xludf.DUMMYFUNCTION("IMPORTRANGE(""https://docs.google.com/spreadsheets/d/11923uPwbBZFjjGgGUA6NLw09EwE0CqkOc4q9oUmW1yo/edit?usp=sharing"",""น่าน!I407"")"),0)</f>
        <v>0</v>
      </c>
      <c r="J512" s="197">
        <f ca="1">IFERROR(__xludf.DUMMYFUNCTION("IMPORTRANGE(""https://docs.google.com/spreadsheets/d/11923uPwbBZFjjGgGUA6NLw09EwE0CqkOc4q9oUmW1yo/edit?usp=sharing"",""น่าน!J407"")"),0)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IFERROR(__xludf.DUMMYFUNCTION("IMPORTRANGE(""https://docs.google.com/spreadsheets/d/11923uPwbBZFjjGgGUA6NLw09EwE0CqkOc4q9oUmW1yo/edit?usp=sharing"",""น่าน!I408"")"),0)</f>
        <v>0</v>
      </c>
      <c r="J513" s="197">
        <f ca="1">IFERROR(__xludf.DUMMYFUNCTION("IMPORTRANGE(""https://docs.google.com/spreadsheets/d/11923uPwbBZFjjGgGUA6NLw09EwE0CqkOc4q9oUmW1yo/edit?usp=sharing"",""น่าน!J408"")"),0)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IFERROR(__xludf.DUMMYFUNCTION("IMPORTRANGE(""https://docs.google.com/spreadsheets/d/11923uPwbBZFjjGgGUA6NLw09EwE0CqkOc4q9oUmW1yo/edit?usp=sharing"",""น่าน!I409"")"),0)</f>
        <v>0</v>
      </c>
      <c r="J514" s="197">
        <f ca="1">IFERROR(__xludf.DUMMYFUNCTION("IMPORTRANGE(""https://docs.google.com/spreadsheets/d/11923uPwbBZFjjGgGUA6NLw09EwE0CqkOc4q9oUmW1yo/edit?usp=sharing"",""น่าน!J409"")"),0)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IFERROR(__xludf.DUMMYFUNCTION("IMPORTRANGE(""https://docs.google.com/spreadsheets/d/11923uPwbBZFjjGgGUA6NLw09EwE0CqkOc4q9oUmW1yo/edit?usp=sharing"",""น่าน!I410"")"),0)</f>
        <v>0</v>
      </c>
      <c r="J515" s="197">
        <f ca="1">IFERROR(__xludf.DUMMYFUNCTION("IMPORTRANGE(""https://docs.google.com/spreadsheets/d/11923uPwbBZFjjGgGUA6NLw09EwE0CqkOc4q9oUmW1yo/edit?usp=sharing"",""น่าน!J410"")"),0)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IFERROR(__xludf.DUMMYFUNCTION("IMPORTRANGE(""https://docs.google.com/spreadsheets/d/11923uPwbBZFjjGgGUA6NLw09EwE0CqkOc4q9oUmW1yo/edit?usp=sharing"",""น่าน!I411"")"),0)</f>
        <v>0</v>
      </c>
      <c r="J516" s="266">
        <f ca="1">IFERROR(__xludf.DUMMYFUNCTION("IMPORTRANGE(""https://docs.google.com/spreadsheets/d/11923uPwbBZFjjGgGUA6NLw09EwE0CqkOc4q9oUmW1yo/edit?usp=sharing"",""น่าน!J411"")"),0)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IFERROR(__xludf.DUMMYFUNCTION("IMPORTRANGE(""https://docs.google.com/spreadsheets/d/11923uPwbBZFjjGgGUA6NLw09EwE0CqkOc4q9oUmW1yo/edit?usp=sharing"",""น่าน!I412"")"),0)</f>
        <v>0</v>
      </c>
      <c r="J517" s="282">
        <f ca="1">IFERROR(__xludf.DUMMYFUNCTION("IMPORTRANGE(""https://docs.google.com/spreadsheets/d/11923uPwbBZFjjGgGUA6NLw09EwE0CqkOc4q9oUmW1yo/edit?usp=sharing"",""น่าน!J412"")"),0)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IFERROR(__xludf.DUMMYFUNCTION("IMPORTRANGE(""https://docs.google.com/spreadsheets/d/11923uPwbBZFjjGgGUA6NLw09EwE0CqkOc4q9oUmW1yo/edit?usp=sharing"",""น่าน!I413"")"),0)</f>
        <v>0</v>
      </c>
      <c r="J518" s="282">
        <f ca="1">IFERROR(__xludf.DUMMYFUNCTION("IMPORTRANGE(""https://docs.google.com/spreadsheets/d/11923uPwbBZFjjGgGUA6NLw09EwE0CqkOc4q9oUmW1yo/edit?usp=sharing"",""น่าน!J413"")"),0)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IFERROR(__xludf.DUMMYFUNCTION("IMPORTRANGE(""https://docs.google.com/spreadsheets/d/11923uPwbBZFjjGgGUA6NLw09EwE0CqkOc4q9oUmW1yo/edit?usp=sharing"",""น่าน!I414"")"),0)</f>
        <v>0</v>
      </c>
      <c r="J519" s="187">
        <f ca="1">IFERROR(__xludf.DUMMYFUNCTION("IMPORTRANGE(""https://docs.google.com/spreadsheets/d/11923uPwbBZFjjGgGUA6NLw09EwE0CqkOc4q9oUmW1yo/edit?usp=sharing"",""น่าน!J414"")"),0)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IFERROR(__xludf.DUMMYFUNCTION("IMPORTRANGE(""https://docs.google.com/spreadsheets/d/11923uPwbBZFjjGgGUA6NLw09EwE0CqkOc4q9oUmW1yo/edit?usp=sharing"",""น่าน!I415"")"),0)</f>
        <v>0</v>
      </c>
      <c r="J520" s="187">
        <f ca="1">IFERROR(__xludf.DUMMYFUNCTION("IMPORTRANGE(""https://docs.google.com/spreadsheets/d/11923uPwbBZFjjGgGUA6NLw09EwE0CqkOc4q9oUmW1yo/edit?usp=sharing"",""น่าน!J415"")"),0)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IFERROR(__xludf.DUMMYFUNCTION("IMPORTRANGE(""https://docs.google.com/spreadsheets/d/11923uPwbBZFjjGgGUA6NLw09EwE0CqkOc4q9oUmW1yo/edit?usp=sharing"",""น่าน!I416"")"),0)</f>
        <v>0</v>
      </c>
      <c r="J521" s="187">
        <f ca="1">IFERROR(__xludf.DUMMYFUNCTION("IMPORTRANGE(""https://docs.google.com/spreadsheets/d/11923uPwbBZFjjGgGUA6NLw09EwE0CqkOc4q9oUmW1yo/edit?usp=sharing"",""น่าน!J416"")"),0)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IFERROR(__xludf.DUMMYFUNCTION("IMPORTRANGE(""https://docs.google.com/spreadsheets/d/11923uPwbBZFjjGgGUA6NLw09EwE0CqkOc4q9oUmW1yo/edit?usp=sharing"",""น่าน!I417"")"),0)</f>
        <v>0</v>
      </c>
      <c r="J522" s="187">
        <f ca="1">IFERROR(__xludf.DUMMYFUNCTION("IMPORTRANGE(""https://docs.google.com/spreadsheets/d/11923uPwbBZFjjGgGUA6NLw09EwE0CqkOc4q9oUmW1yo/edit?usp=sharing"",""น่าน!J417"")"),0)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IFERROR(__xludf.DUMMYFUNCTION("IMPORTRANGE(""https://docs.google.com/spreadsheets/d/11923uPwbBZFjjGgGUA6NLw09EwE0CqkOc4q9oUmW1yo/edit?usp=sharing"",""น่าน!I418"")"),0)</f>
        <v>0</v>
      </c>
      <c r="J523" s="187">
        <f ca="1">IFERROR(__xludf.DUMMYFUNCTION("IMPORTRANGE(""https://docs.google.com/spreadsheets/d/11923uPwbBZFjjGgGUA6NLw09EwE0CqkOc4q9oUmW1yo/edit?usp=sharing"",""น่าน!J418"")"),13)</f>
        <v>13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IFERROR(__xludf.DUMMYFUNCTION("IMPORTRANGE(""https://docs.google.com/spreadsheets/d/11923uPwbBZFjjGgGUA6NLw09EwE0CqkOc4q9oUmW1yo/edit?usp=sharing"",""น่าน!I419"")"),0)</f>
        <v>0</v>
      </c>
      <c r="J524" s="187">
        <f ca="1">IFERROR(__xludf.DUMMYFUNCTION("IMPORTRANGE(""https://docs.google.com/spreadsheets/d/11923uPwbBZFjjGgGUA6NLw09EwE0CqkOc4q9oUmW1yo/edit?usp=sharing"",""น่าน!J419"")"),4)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IFERROR(__xludf.DUMMYFUNCTION("IMPORTRANGE(""https://docs.google.com/spreadsheets/d/11923uPwbBZFjjGgGUA6NLw09EwE0CqkOc4q9oUmW1yo/edit?usp=sharing"",""น่าน!I420"")"),13)</f>
        <v>13</v>
      </c>
      <c r="J525" s="282">
        <f ca="1">IFERROR(__xludf.DUMMYFUNCTION("IMPORTRANGE(""https://docs.google.com/spreadsheets/d/11923uPwbBZFjjGgGUA6NLw09EwE0CqkOc4q9oUmW1yo/edit?usp=sharing"",""น่าน!J420"")"),0)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IFERROR(__xludf.DUMMYFUNCTION("IMPORTRANGE(""https://docs.google.com/spreadsheets/d/11923uPwbBZFjjGgGUA6NLw09EwE0CqkOc4q9oUmW1yo/edit?usp=sharing"",""น่าน!I421"")"),4)</f>
        <v>4</v>
      </c>
      <c r="J526" s="282">
        <f ca="1">IFERROR(__xludf.DUMMYFUNCTION("IMPORTRANGE(""https://docs.google.com/spreadsheets/d/11923uPwbBZFjjGgGUA6NLw09EwE0CqkOc4q9oUmW1yo/edit?usp=sharing"",""น่าน!J421"")"),0)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IFERROR(__xludf.DUMMYFUNCTION("IMPORTRANGE(""https://docs.google.com/spreadsheets/d/11923uPwbBZFjjGgGUA6NLw09EwE0CqkOc4q9oUmW1yo/edit?usp=sharing"",""น่าน!I422"")"),0)</f>
        <v>0</v>
      </c>
      <c r="J527" s="197">
        <f ca="1">IFERROR(__xludf.DUMMYFUNCTION("IMPORTRANGE(""https://docs.google.com/spreadsheets/d/11923uPwbBZFjjGgGUA6NLw09EwE0CqkOc4q9oUmW1yo/edit?usp=sharing"",""น่าน!J422"")"),0)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IFERROR(__xludf.DUMMYFUNCTION("IMPORTRANGE(""https://docs.google.com/spreadsheets/d/11923uPwbBZFjjGgGUA6NLw09EwE0CqkOc4q9oUmW1yo/edit?usp=sharing"",""น่าน!I423"")"),0)</f>
        <v>0</v>
      </c>
      <c r="J528" s="197">
        <f ca="1">IFERROR(__xludf.DUMMYFUNCTION("IMPORTRANGE(""https://docs.google.com/spreadsheets/d/11923uPwbBZFjjGgGUA6NLw09EwE0CqkOc4q9oUmW1yo/edit?usp=sharing"",""น่าน!J423"")"),0)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IFERROR(__xludf.DUMMYFUNCTION("IMPORTRANGE(""https://docs.google.com/spreadsheets/d/11923uPwbBZFjjGgGUA6NLw09EwE0CqkOc4q9oUmW1yo/edit?usp=sharing"",""น่าน!I424"")"),0)</f>
        <v>0</v>
      </c>
      <c r="J529" s="197">
        <f ca="1">IFERROR(__xludf.DUMMYFUNCTION("IMPORTRANGE(""https://docs.google.com/spreadsheets/d/11923uPwbBZFjjGgGUA6NLw09EwE0CqkOc4q9oUmW1yo/edit?usp=sharing"",""น่าน!J424"")"),0)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IFERROR(__xludf.DUMMYFUNCTION("IMPORTRANGE(""https://docs.google.com/spreadsheets/d/11923uPwbBZFjjGgGUA6NLw09EwE0CqkOc4q9oUmW1yo/edit?usp=sharing"",""น่าน!I425"")"),0)</f>
        <v>0</v>
      </c>
      <c r="J530" s="197">
        <f ca="1">IFERROR(__xludf.DUMMYFUNCTION("IMPORTRANGE(""https://docs.google.com/spreadsheets/d/11923uPwbBZFjjGgGUA6NLw09EwE0CqkOc4q9oUmW1yo/edit?usp=sharing"",""น่าน!J425"")"),0)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IFERROR(__xludf.DUMMYFUNCTION("IMPORTRANGE(""https://docs.google.com/spreadsheets/d/11923uPwbBZFjjGgGUA6NLw09EwE0CqkOc4q9oUmW1yo/edit?usp=sharing"",""น่าน!I426"")"),0)</f>
        <v>0</v>
      </c>
      <c r="J531" s="197">
        <f ca="1">IFERROR(__xludf.DUMMYFUNCTION("IMPORTRANGE(""https://docs.google.com/spreadsheets/d/11923uPwbBZFjjGgGUA6NLw09EwE0CqkOc4q9oUmW1yo/edit?usp=sharing"",""น่าน!J426"")"),0)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IFERROR(__xludf.DUMMYFUNCTION("IMPORTRANGE(""https://docs.google.com/spreadsheets/d/11923uPwbBZFjjGgGUA6NLw09EwE0CqkOc4q9oUmW1yo/edit?usp=sharing"",""น่าน!I427"")"),0)</f>
        <v>0</v>
      </c>
      <c r="J532" s="464">
        <f ca="1">IFERROR(__xludf.DUMMYFUNCTION("IMPORTRANGE(""https://docs.google.com/spreadsheets/d/11923uPwbBZFjjGgGUA6NLw09EwE0CqkOc4q9oUmW1yo/edit?usp=sharing"",""น่าน!J427"")"),0)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IFERROR(__xludf.DUMMYFUNCTION("IMPORTRANGE(""https://docs.google.com/spreadsheets/d/11923uPwbBZFjjGgGUA6NLw09EwE0CqkOc4q9oUmW1yo/edit?usp=sharing"",""น่าน!I428"")"),22)</f>
        <v>22</v>
      </c>
      <c r="J533" s="408">
        <f ca="1">IFERROR(__xludf.DUMMYFUNCTION("IMPORTRANGE(""https://docs.google.com/spreadsheets/d/11923uPwbBZFjjGgGUA6NLw09EwE0CqkOc4q9oUmW1yo/edit?usp=sharing"",""น่าน!J428"")"),22)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IFERROR(__xludf.DUMMYFUNCTION("IMPORTRANGE(""https://docs.google.com/spreadsheets/d/11923uPwbBZFjjGgGUA6NLw09EwE0CqkOc4q9oUmW1yo/edit?usp=sharing"",""น่าน!L428"")"),34340)</f>
        <v>34340</v>
      </c>
      <c r="M533" s="410"/>
      <c r="N533" s="410">
        <f ca="1">IFERROR(__xludf.DUMMYFUNCTION("IMPORTRANGE(""https://docs.google.com/spreadsheets/d/11923uPwbBZFjjGgGUA6NLw09EwE0CqkOc4q9oUmW1yo/edit?usp=sharing"",""น่าน!M428"")"),26076)</f>
        <v>26076</v>
      </c>
      <c r="O533" s="410">
        <f t="shared" ref="O533:O537" ca="1" si="118">+IF(L533&gt;0,N533*100/L533,0)</f>
        <v>75.934769947582993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IFERROR(__xludf.DUMMYFUNCTION("IMPORTRANGE(""https://docs.google.com/spreadsheets/d/11923uPwbBZFjjGgGUA6NLw09EwE0CqkOc4q9oUmW1yo/edit?usp=sharing"",""น่าน!L429"")"),0)</f>
        <v>0</v>
      </c>
      <c r="M534" s="164"/>
      <c r="N534" s="168">
        <f ca="1">IFERROR(__xludf.DUMMYFUNCTION("IMPORTRANGE(""https://docs.google.com/spreadsheets/d/11923uPwbBZFjjGgGUA6NLw09EwE0CqkOc4q9oUmW1yo/edit?usp=sharing"",""น่าน!M429"")"),0)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IFERROR(__xludf.DUMMYFUNCTION("IMPORTRANGE(""https://docs.google.com/spreadsheets/d/11923uPwbBZFjjGgGUA6NLw09EwE0CqkOc4q9oUmW1yo/edit?usp=sharing"",""น่าน!L430"")"),34340)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IFERROR(__xludf.DUMMYFUNCTION("IMPORTRANGE(""https://docs.google.com/spreadsheets/d/11923uPwbBZFjjGgGUA6NLw09EwE0CqkOc4q9oUmW1yo/edit?usp=sharing"",""น่าน!M430"")"),26076)</f>
        <v>26076</v>
      </c>
      <c r="O535" s="168">
        <f t="shared" ca="1" si="118"/>
        <v>75.934769947582993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IFERROR(__xludf.DUMMYFUNCTION("IMPORTRANGE(""https://docs.google.com/spreadsheets/d/11923uPwbBZFjjGgGUA6NLw09EwE0CqkOc4q9oUmW1yo/edit?usp=sharing"",""น่าน!L431"")"),0)</f>
        <v>0</v>
      </c>
      <c r="M536" s="168"/>
      <c r="N536" s="168">
        <f ca="1">IFERROR(__xludf.DUMMYFUNCTION("IMPORTRANGE(""https://docs.google.com/spreadsheets/d/11923uPwbBZFjjGgGUA6NLw09EwE0CqkOc4q9oUmW1yo/edit?usp=sharing"",""น่าน!M431"")"),0)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IFERROR(__xludf.DUMMYFUNCTION("IMPORTRANGE(""https://docs.google.com/spreadsheets/d/11923uPwbBZFjjGgGUA6NLw09EwE0CqkOc4q9oUmW1yo/edit?usp=sharing"",""น่าน!L432"")"),34340)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IFERROR(__xludf.DUMMYFUNCTION("IMPORTRANGE(""https://docs.google.com/spreadsheets/d/11923uPwbBZFjjGgGUA6NLw09EwE0CqkOc4q9oUmW1yo/edit?usp=sharing"",""น่าน!M432"")"),26076)</f>
        <v>26076</v>
      </c>
      <c r="O537" s="168">
        <f t="shared" ca="1" si="118"/>
        <v>75.934769947582993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IFERROR(__xludf.DUMMYFUNCTION("IMPORTRANGE(""https://docs.google.com/spreadsheets/d/11923uPwbBZFjjGgGUA6NLw09EwE0CqkOc4q9oUmW1yo/edit?usp=sharing"",""น่าน!M433"")"),18966)</f>
        <v>18966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IFERROR(__xludf.DUMMYFUNCTION("IMPORTRANGE(""https://docs.google.com/spreadsheets/d/11923uPwbBZFjjGgGUA6NLw09EwE0CqkOc4q9oUmW1yo/edit?usp=sharing"",""น่าน!M434"")"),0)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IFERROR(__xludf.DUMMYFUNCTION("IMPORTRANGE(""https://docs.google.com/spreadsheets/d/11923uPwbBZFjjGgGUA6NLw09EwE0CqkOc4q9oUmW1yo/edit?usp=sharing"",""น่าน!M435"")"),0)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IFERROR(__xludf.DUMMYFUNCTION("IMPORTRANGE(""https://docs.google.com/spreadsheets/d/11923uPwbBZFjjGgGUA6NLw09EwE0CqkOc4q9oUmW1yo/edit?usp=sharing"",""น่าน!M436"")"),7110)</f>
        <v>7110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IFERROR(__xludf.DUMMYFUNCTION("IMPORTRANGE(""https://docs.google.com/spreadsheets/d/11923uPwbBZFjjGgGUA6NLw09EwE0CqkOc4q9oUmW1yo/edit?usp=sharing"",""น่าน!J438"")"),0)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IFERROR(__xludf.DUMMYFUNCTION("IMPORTRANGE(""https://docs.google.com/spreadsheets/d/11923uPwbBZFjjGgGUA6NLw09EwE0CqkOc4q9oUmW1yo/edit?usp=sharing"",""น่าน!J439"")"),1)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IFERROR(__xludf.DUMMYFUNCTION("IMPORTRANGE(""https://docs.google.com/spreadsheets/d/11923uPwbBZFjjGgGUA6NLw09EwE0CqkOc4q9oUmW1yo/edit?usp=sharing"",""น่าน!J440"")"),1)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IFERROR(__xludf.DUMMYFUNCTION("IMPORTRANGE(""https://docs.google.com/spreadsheets/d/11923uPwbBZFjjGgGUA6NLw09EwE0CqkOc4q9oUmW1yo/edit?usp=sharing"",""น่าน!J441"")"),1)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IFERROR(__xludf.DUMMYFUNCTION("IMPORTRANGE(""https://docs.google.com/spreadsheets/d/11923uPwbBZFjjGgGUA6NLw09EwE0CqkOc4q9oUmW1yo/edit?usp=sharing"",""น่าน!I442"")"),22)</f>
        <v>22</v>
      </c>
      <c r="J547" s="188">
        <f ca="1">IFERROR(__xludf.DUMMYFUNCTION("IMPORTRANGE(""https://docs.google.com/spreadsheets/d/11923uPwbBZFjjGgGUA6NLw09EwE0CqkOc4q9oUmW1yo/edit?usp=sharing"",""น่าน!J442"")"),22)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IFERROR(__xludf.DUMMYFUNCTION("IMPORTRANGE(""https://docs.google.com/spreadsheets/d/11923uPwbBZFjjGgGUA6NLw09EwE0CqkOc4q9oUmW1yo/edit?usp=sharing"",""น่าน!J166"")"),0)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IFERROR(__xludf.DUMMYFUNCTION("IMPORTRANGE(""https://docs.google.com/spreadsheets/d/11923uPwbBZFjjGgGUA6NLw09EwE0CqkOc4q9oUmW1yo/edit?usp=sharing"",""น่าน!J444"")"),0)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IFERROR(__xludf.DUMMYFUNCTION("IMPORTRANGE(""https://docs.google.com/spreadsheets/d/11923uPwbBZFjjGgGUA6NLw09EwE0CqkOc4q9oUmW1yo/edit?usp=sharing"",""น่าน!J445"")"),0)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IFERROR(__xludf.DUMMYFUNCTION("IMPORTRANGE(""https://docs.google.com/spreadsheets/d/11923uPwbBZFjjGgGUA6NLw09EwE0CqkOc4q9oUmW1yo/edit?usp=sharing"",""น่าน!I446"")"),0)</f>
        <v>0</v>
      </c>
      <c r="J551" s="408">
        <f ca="1">IFERROR(__xludf.DUMMYFUNCTION("IMPORTRANGE(""https://docs.google.com/spreadsheets/d/11923uPwbBZFjjGgGUA6NLw09EwE0CqkOc4q9oUmW1yo/edit?usp=sharing"",""น่าน!J446"")"),0)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IFERROR(__xludf.DUMMYFUNCTION("IMPORTRANGE(""https://docs.google.com/spreadsheets/d/11923uPwbBZFjjGgGUA6NLw09EwE0CqkOc4q9oUmW1yo/edit?usp=sharing"",""น่าน!L446"")"),0)</f>
        <v>0</v>
      </c>
      <c r="M551" s="410"/>
      <c r="N551" s="410">
        <f ca="1">IFERROR(__xludf.DUMMYFUNCTION("IMPORTRANGE(""https://docs.google.com/spreadsheets/d/11923uPwbBZFjjGgGUA6NLw09EwE0CqkOc4q9oUmW1yo/edit?usp=sharing"",""น่าน!M446"")"),0)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IFERROR(__xludf.DUMMYFUNCTION("IMPORTRANGE(""https://docs.google.com/spreadsheets/d/11923uPwbBZFjjGgGUA6NLw09EwE0CqkOc4q9oUmW1yo/edit?usp=sharing"",""น่าน!L447"")"),0)</f>
        <v>0</v>
      </c>
      <c r="M552" s="164"/>
      <c r="N552" s="168">
        <f ca="1">IFERROR(__xludf.DUMMYFUNCTION("IMPORTRANGE(""https://docs.google.com/spreadsheets/d/11923uPwbBZFjjGgGUA6NLw09EwE0CqkOc4q9oUmW1yo/edit?usp=sharing"",""น่าน!M447"")"),0)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IFERROR(__xludf.DUMMYFUNCTION("IMPORTRANGE(""https://docs.google.com/spreadsheets/d/11923uPwbBZFjjGgGUA6NLw09EwE0CqkOc4q9oUmW1yo/edit?usp=sharing"",""น่าน!L448"")"),0)</f>
        <v>0</v>
      </c>
      <c r="M553" s="165"/>
      <c r="N553" s="168">
        <f ca="1">IFERROR(__xludf.DUMMYFUNCTION("IMPORTRANGE(""https://docs.google.com/spreadsheets/d/11923uPwbBZFjjGgGUA6NLw09EwE0CqkOc4q9oUmW1yo/edit?usp=sharing"",""น่าน!M448"")"),0)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IFERROR(__xludf.DUMMYFUNCTION("IMPORTRANGE(""https://docs.google.com/spreadsheets/d/11923uPwbBZFjjGgGUA6NLw09EwE0CqkOc4q9oUmW1yo/edit?usp=sharing"",""น่าน!L449"")"),0)</f>
        <v>0</v>
      </c>
      <c r="M554" s="168"/>
      <c r="N554" s="168">
        <f ca="1">IFERROR(__xludf.DUMMYFUNCTION("IMPORTRANGE(""https://docs.google.com/spreadsheets/d/11923uPwbBZFjjGgGUA6NLw09EwE0CqkOc4q9oUmW1yo/edit?usp=sharing"",""น่าน!M449"")"),0)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IFERROR(__xludf.DUMMYFUNCTION("IMPORTRANGE(""https://docs.google.com/spreadsheets/d/11923uPwbBZFjjGgGUA6NLw09EwE0CqkOc4q9oUmW1yo/edit?usp=sharing"",""น่าน!L450"")"),0)</f>
        <v>0</v>
      </c>
      <c r="M555" s="168"/>
      <c r="N555" s="168">
        <f ca="1">IFERROR(__xludf.DUMMYFUNCTION("IMPORTRANGE(""https://docs.google.com/spreadsheets/d/11923uPwbBZFjjGgGUA6NLw09EwE0CqkOc4q9oUmW1yo/edit?usp=sharing"",""น่าน!M450"")"),0)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IFERROR(__xludf.DUMMYFUNCTION("IMPORTRANGE(""https://docs.google.com/spreadsheets/d/11923uPwbBZFjjGgGUA6NLw09EwE0CqkOc4q9oUmW1yo/edit?usp=sharing"",""น่าน!M451"")"),0)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IFERROR(__xludf.DUMMYFUNCTION("IMPORTRANGE(""https://docs.google.com/spreadsheets/d/11923uPwbBZFjjGgGUA6NLw09EwE0CqkOc4q9oUmW1yo/edit?usp=sharing"",""น่าน!M452"")"),0)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IFERROR(__xludf.DUMMYFUNCTION("IMPORTRANGE(""https://docs.google.com/spreadsheets/d/11923uPwbBZFjjGgGUA6NLw09EwE0CqkOc4q9oUmW1yo/edit?usp=sharing"",""น่าน!M453"")"),0)</f>
        <v>0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IFERROR(__xludf.DUMMYFUNCTION("IMPORTRANGE(""https://docs.google.com/spreadsheets/d/11923uPwbBZFjjGgGUA6NLw09EwE0CqkOc4q9oUmW1yo/edit?usp=sharing"",""น่าน!M454"")"),0)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IFERROR(__xludf.DUMMYFUNCTION("IMPORTRANGE(""https://docs.google.com/spreadsheets/d/11923uPwbBZFjjGgGUA6NLw09EwE0CqkOc4q9oUmW1yo/edit?usp=sharing"",""น่าน!I455"")"),0)</f>
        <v>0</v>
      </c>
      <c r="J560" s="162">
        <f ca="1">IFERROR(__xludf.DUMMYFUNCTION("IMPORTRANGE(""https://docs.google.com/spreadsheets/d/11923uPwbBZFjjGgGUA6NLw09EwE0CqkOc4q9oUmW1yo/edit?usp=sharing"",""น่าน!J455"")"),0)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IFERROR(__xludf.DUMMYFUNCTION("IMPORTRANGE(""https://docs.google.com/spreadsheets/d/11923uPwbBZFjjGgGUA6NLw09EwE0CqkOc4q9oUmW1yo/edit?usp=sharing"",""น่าน!I456"")"),0)</f>
        <v>0</v>
      </c>
      <c r="J561" s="203">
        <f ca="1">IFERROR(__xludf.DUMMYFUNCTION("IMPORTRANGE(""https://docs.google.com/spreadsheets/d/11923uPwbBZFjjGgGUA6NLw09EwE0CqkOc4q9oUmW1yo/edit?usp=sharing"",""น่าน!J456"")"),0)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f ca="1">IFERROR(__xludf.DUMMYFUNCTION("IMPORTRANGE(""https://docs.google.com/spreadsheets/d/11923uPwbBZFjjGgGUA6NLw09EwE0CqkOc4q9oUmW1yo/edit?usp=sharing"",""น่าน!I457"")"),0)</f>
        <v>0</v>
      </c>
      <c r="J562" s="203" t="str">
        <f ca="1">IFERROR(__xludf.DUMMYFUNCTION("IMPORTRANGE(""https://docs.google.com/spreadsheets/d/11923uPwbBZFjjGgGUA6NLw09EwE0CqkOc4q9oUmW1yo/edit?usp=sharing"",""น่าน!J457"")"),"")</f>
        <v/>
      </c>
      <c r="K562" s="163">
        <f t="shared" ca="1" si="121"/>
        <v>0</v>
      </c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f ca="1">IFERROR(__xludf.DUMMYFUNCTION("IMPORTRANGE(""https://docs.google.com/spreadsheets/d/11923uPwbBZFjjGgGUA6NLw09EwE0CqkOc4q9oUmW1yo/edit?usp=sharing"",""น่าน!I458"")"),0)</f>
        <v>0</v>
      </c>
      <c r="J563" s="187" t="str">
        <f ca="1">IFERROR(__xludf.DUMMYFUNCTION("IMPORTRANGE(""https://docs.google.com/spreadsheets/d/11923uPwbBZFjjGgGUA6NLw09EwE0CqkOc4q9oUmW1yo/edit?usp=sharing"",""น่าน!J458"")"),"")</f>
        <v/>
      </c>
      <c r="K563" s="163">
        <f t="shared" ca="1" si="121"/>
        <v>0</v>
      </c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IFERROR(__xludf.DUMMYFUNCTION("IMPORTRANGE(""https://docs.google.com/spreadsheets/d/11923uPwbBZFjjGgGUA6NLw09EwE0CqkOc4q9oUmW1yo/edit?usp=sharing"",""น่าน!I459"")"),2150)</f>
        <v>2150</v>
      </c>
      <c r="J564" s="369">
        <f ca="1">IFERROR(__xludf.DUMMYFUNCTION("IMPORTRANGE(""https://docs.google.com/spreadsheets/d/11923uPwbBZFjjGgGUA6NLw09EwE0CqkOc4q9oUmW1yo/edit?usp=sharing"",""น่าน!J459"")"),763)</f>
        <v>763</v>
      </c>
      <c r="K564" s="370">
        <f t="shared" ca="1" si="121"/>
        <v>35.488372093023258</v>
      </c>
      <c r="L564" s="371">
        <f ca="1">IFERROR(__xludf.DUMMYFUNCTION("IMPORTRANGE(""https://docs.google.com/spreadsheets/d/11923uPwbBZFjjGgGUA6NLw09EwE0CqkOc4q9oUmW1yo/edit?usp=sharing"",""น่าน!L459"")"),144800)</f>
        <v>144800</v>
      </c>
      <c r="M564" s="371"/>
      <c r="N564" s="371">
        <f ca="1">IFERROR(__xludf.DUMMYFUNCTION("IMPORTRANGE(""https://docs.google.com/spreadsheets/d/11923uPwbBZFjjGgGUA6NLw09EwE0CqkOc4q9oUmW1yo/edit?usp=sharing"",""น่าน!M459"")"),45790)</f>
        <v>45790</v>
      </c>
      <c r="O564" s="371">
        <f t="shared" ref="O564:O568" ca="1" si="122">+IF(L564&gt;0,N564*100/L564,0)</f>
        <v>31.622928176795579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IFERROR(__xludf.DUMMYFUNCTION("IMPORTRANGE(""https://docs.google.com/spreadsheets/d/11923uPwbBZFjjGgGUA6NLw09EwE0CqkOc4q9oUmW1yo/edit?usp=sharing"",""น่าน!L460"")"),0)</f>
        <v>0</v>
      </c>
      <c r="M565" s="164"/>
      <c r="N565" s="168">
        <f ca="1">IFERROR(__xludf.DUMMYFUNCTION("IMPORTRANGE(""https://docs.google.com/spreadsheets/d/11923uPwbBZFjjGgGUA6NLw09EwE0CqkOc4q9oUmW1yo/edit?usp=sharing"",""น่าน!M460"")"),0)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IFERROR(__xludf.DUMMYFUNCTION("IMPORTRANGE(""https://docs.google.com/spreadsheets/d/11923uPwbBZFjjGgGUA6NLw09EwE0CqkOc4q9oUmW1yo/edit?usp=sharing"",""น่าน!L461"")"),144800)</f>
        <v>144800</v>
      </c>
      <c r="M566" s="165"/>
      <c r="N566" s="168">
        <f ca="1">IFERROR(__xludf.DUMMYFUNCTION("IMPORTRANGE(""https://docs.google.com/spreadsheets/d/11923uPwbBZFjjGgGUA6NLw09EwE0CqkOc4q9oUmW1yo/edit?usp=sharing"",""น่าน!M461"")"),45790)</f>
        <v>45790</v>
      </c>
      <c r="O566" s="168">
        <f t="shared" ca="1" si="122"/>
        <v>31.622928176795579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IFERROR(__xludf.DUMMYFUNCTION("IMPORTRANGE(""https://docs.google.com/spreadsheets/d/11923uPwbBZFjjGgGUA6NLw09EwE0CqkOc4q9oUmW1yo/edit?usp=sharing"",""น่าน!L462"")"),0)</f>
        <v>0</v>
      </c>
      <c r="M567" s="168"/>
      <c r="N567" s="168">
        <f ca="1">IFERROR(__xludf.DUMMYFUNCTION("IMPORTRANGE(""https://docs.google.com/spreadsheets/d/11923uPwbBZFjjGgGUA6NLw09EwE0CqkOc4q9oUmW1yo/edit?usp=sharing"",""น่าน!M462"")"),0)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IFERROR(__xludf.DUMMYFUNCTION("IMPORTRANGE(""https://docs.google.com/spreadsheets/d/11923uPwbBZFjjGgGUA6NLw09EwE0CqkOc4q9oUmW1yo/edit?usp=sharing"",""น่าน!L463"")"),144800)</f>
        <v>144800</v>
      </c>
      <c r="M568" s="168"/>
      <c r="N568" s="168">
        <f ca="1">IFERROR(__xludf.DUMMYFUNCTION("IMPORTRANGE(""https://docs.google.com/spreadsheets/d/11923uPwbBZFjjGgGUA6NLw09EwE0CqkOc4q9oUmW1yo/edit?usp=sharing"",""น่าน!M463"")"),45790)</f>
        <v>45790</v>
      </c>
      <c r="O568" s="168">
        <f t="shared" ca="1" si="122"/>
        <v>31.622928176795579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IFERROR(__xludf.DUMMYFUNCTION("IMPORTRANGE(""https://docs.google.com/spreadsheets/d/11923uPwbBZFjjGgGUA6NLw09EwE0CqkOc4q9oUmW1yo/edit?usp=sharing"",""น่าน!M464"")"),0)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IFERROR(__xludf.DUMMYFUNCTION("IMPORTRANGE(""https://docs.google.com/spreadsheets/d/11923uPwbBZFjjGgGUA6NLw09EwE0CqkOc4q9oUmW1yo/edit?usp=sharing"",""น่าน!M465"")"),0)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IFERROR(__xludf.DUMMYFUNCTION("IMPORTRANGE(""https://docs.google.com/spreadsheets/d/11923uPwbBZFjjGgGUA6NLw09EwE0CqkOc4q9oUmW1yo/edit?usp=sharing"",""น่าน!M466"")"),43830)</f>
        <v>43830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IFERROR(__xludf.DUMMYFUNCTION("IMPORTRANGE(""https://docs.google.com/spreadsheets/d/11923uPwbBZFjjGgGUA6NLw09EwE0CqkOc4q9oUmW1yo/edit?usp=sharing"",""น่าน!M467"")"),1960)</f>
        <v>1960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IFERROR(__xludf.DUMMYFUNCTION("IMPORTRANGE(""https://docs.google.com/spreadsheets/d/11923uPwbBZFjjGgGUA6NLw09EwE0CqkOc4q9oUmW1yo/edit?usp=sharing"",""น่าน!I468"")"),2150)</f>
        <v>2150</v>
      </c>
      <c r="J573" s="418">
        <f ca="1">IFERROR(__xludf.DUMMYFUNCTION("IMPORTRANGE(""https://docs.google.com/spreadsheets/d/11923uPwbBZFjjGgGUA6NLw09EwE0CqkOc4q9oUmW1yo/edit?usp=sharing"",""น่าน!J468"")"),763)</f>
        <v>763</v>
      </c>
      <c r="K573" s="201">
        <f ca="1">IF(I573&gt;0,J573*100/I573,0)</f>
        <v>35.488372093023258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IFERROR(__xludf.DUMMYFUNCTION("IMPORTRANGE(""https://docs.google.com/spreadsheets/d/11923uPwbBZFjjGgGUA6NLw09EwE0CqkOc4q9oUmW1yo/edit?usp=sharing"",""น่าน!I470"")"),0)</f>
        <v>0</v>
      </c>
      <c r="J575" s="197">
        <f ca="1">IFERROR(__xludf.DUMMYFUNCTION("IMPORTRANGE(""https://docs.google.com/spreadsheets/d/11923uPwbBZFjjGgGUA6NLw09EwE0CqkOc4q9oUmW1yo/edit?usp=sharing"",""น่าน!J470"")"),1)</f>
        <v>1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IFERROR(__xludf.DUMMYFUNCTION("IMPORTRANGE(""https://docs.google.com/spreadsheets/d/11923uPwbBZFjjGgGUA6NLw09EwE0CqkOc4q9oUmW1yo/edit?usp=sharing"",""น่าน!I471"")"),0)</f>
        <v>0</v>
      </c>
      <c r="J576" s="197">
        <f ca="1">IFERROR(__xludf.DUMMYFUNCTION("IMPORTRANGE(""https://docs.google.com/spreadsheets/d/11923uPwbBZFjjGgGUA6NLw09EwE0CqkOc4q9oUmW1yo/edit?usp=sharing"",""น่าน!J471"")"),108)</f>
        <v>108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IFERROR(__xludf.DUMMYFUNCTION("IMPORTRANGE(""https://docs.google.com/spreadsheets/d/11923uPwbBZFjjGgGUA6NLw09EwE0CqkOc4q9oUmW1yo/edit?usp=sharing"",""น่าน!I472"")"),0)</f>
        <v>0</v>
      </c>
      <c r="J577" s="188">
        <f ca="1">IFERROR(__xludf.DUMMYFUNCTION("IMPORTRANGE(""https://docs.google.com/spreadsheets/d/11923uPwbBZFjjGgGUA6NLw09EwE0CqkOc4q9oUmW1yo/edit?usp=sharing"",""น่าน!J472"")"),641)</f>
        <v>641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IFERROR(__xludf.DUMMYFUNCTION("IMPORTRANGE(""https://docs.google.com/spreadsheets/d/11923uPwbBZFjjGgGUA6NLw09EwE0CqkOc4q9oUmW1yo/edit?usp=sharing"",""น่าน!I473"")"),0)</f>
        <v>0</v>
      </c>
      <c r="J578" s="197">
        <f ca="1">IFERROR(__xludf.DUMMYFUNCTION("IMPORTRANGE(""https://docs.google.com/spreadsheets/d/11923uPwbBZFjjGgGUA6NLw09EwE0CqkOc4q9oUmW1yo/edit?usp=sharing"",""น่าน!J473"")"),14)</f>
        <v>14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IFERROR(__xludf.DUMMYFUNCTION("IMPORTRANGE(""https://docs.google.com/spreadsheets/d/11923uPwbBZFjjGgGUA6NLw09EwE0CqkOc4q9oUmW1yo/edit?usp=sharing"",""น่าน!I474"")"),0)</f>
        <v>0</v>
      </c>
      <c r="J579" s="197">
        <f ca="1">IFERROR(__xludf.DUMMYFUNCTION("IMPORTRANGE(""https://docs.google.com/spreadsheets/d/11923uPwbBZFjjGgGUA6NLw09EwE0CqkOc4q9oUmW1yo/edit?usp=sharing"",""น่าน!J474"")"),0)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IFERROR(__xludf.DUMMYFUNCTION("IMPORTRANGE(""https://docs.google.com/spreadsheets/d/11923uPwbBZFjjGgGUA6NLw09EwE0CqkOc4q9oUmW1yo/edit?usp=sharing"",""น่าน!I475"")"),70)</f>
        <v>70</v>
      </c>
      <c r="J580" s="369">
        <f ca="1">IFERROR(__xludf.DUMMYFUNCTION("IMPORTRANGE(""https://docs.google.com/spreadsheets/d/11923uPwbBZFjjGgGUA6NLw09EwE0CqkOc4q9oUmW1yo/edit?usp=sharing"",""น่าน!J475"")"),4)</f>
        <v>4</v>
      </c>
      <c r="K580" s="370">
        <f ca="1">IF(I580&gt;0,J580*100/I580,0)</f>
        <v>5.7142857142857144</v>
      </c>
      <c r="L580" s="371">
        <f ca="1">IFERROR(__xludf.DUMMYFUNCTION("IMPORTRANGE(""https://docs.google.com/spreadsheets/d/11923uPwbBZFjjGgGUA6NLw09EwE0CqkOc4q9oUmW1yo/edit?usp=sharing"",""น่าน!L475"")"),298470)</f>
        <v>298470</v>
      </c>
      <c r="M580" s="371"/>
      <c r="N580" s="371">
        <f ca="1">IFERROR(__xludf.DUMMYFUNCTION("IMPORTRANGE(""https://docs.google.com/spreadsheets/d/11923uPwbBZFjjGgGUA6NLw09EwE0CqkOc4q9oUmW1yo/edit?usp=sharing"",""น่าน!M475"")"),43370)</f>
        <v>43370</v>
      </c>
      <c r="O580" s="371">
        <f t="shared" ref="O580:O584" ca="1" si="124">+IF(L580&gt;0,N580*100/L580,0)</f>
        <v>14.530773612088318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IFERROR(__xludf.DUMMYFUNCTION("IMPORTRANGE(""https://docs.google.com/spreadsheets/d/11923uPwbBZFjjGgGUA6NLw09EwE0CqkOc4q9oUmW1yo/edit?usp=sharing"",""น่าน!L476"")"),0)</f>
        <v>0</v>
      </c>
      <c r="M581" s="164"/>
      <c r="N581" s="168">
        <f ca="1">IFERROR(__xludf.DUMMYFUNCTION("IMPORTRANGE(""https://docs.google.com/spreadsheets/d/11923uPwbBZFjjGgGUA6NLw09EwE0CqkOc4q9oUmW1yo/edit?usp=sharing"",""น่าน!M476"")"),0)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IFERROR(__xludf.DUMMYFUNCTION("IMPORTRANGE(""https://docs.google.com/spreadsheets/d/11923uPwbBZFjjGgGUA6NLw09EwE0CqkOc4q9oUmW1yo/edit?usp=sharing"",""น่าน!L477"")"),298470)</f>
        <v>298470</v>
      </c>
      <c r="M582" s="165"/>
      <c r="N582" s="168">
        <f ca="1">IFERROR(__xludf.DUMMYFUNCTION("IMPORTRANGE(""https://docs.google.com/spreadsheets/d/11923uPwbBZFjjGgGUA6NLw09EwE0CqkOc4q9oUmW1yo/edit?usp=sharing"",""น่าน!M477"")"),43370)</f>
        <v>43370</v>
      </c>
      <c r="O582" s="168">
        <f t="shared" ca="1" si="124"/>
        <v>14.530773612088318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IFERROR(__xludf.DUMMYFUNCTION("IMPORTRANGE(""https://docs.google.com/spreadsheets/d/11923uPwbBZFjjGgGUA6NLw09EwE0CqkOc4q9oUmW1yo/edit?usp=sharing"",""น่าน!L478"")"),0)</f>
        <v>0</v>
      </c>
      <c r="M583" s="168"/>
      <c r="N583" s="168">
        <f ca="1">IFERROR(__xludf.DUMMYFUNCTION("IMPORTRANGE(""https://docs.google.com/spreadsheets/d/11923uPwbBZFjjGgGUA6NLw09EwE0CqkOc4q9oUmW1yo/edit?usp=sharing"",""น่าน!M478"")"),0)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IFERROR(__xludf.DUMMYFUNCTION("IMPORTRANGE(""https://docs.google.com/spreadsheets/d/11923uPwbBZFjjGgGUA6NLw09EwE0CqkOc4q9oUmW1yo/edit?usp=sharing"",""น่าน!L479"")"),298470)</f>
        <v>298470</v>
      </c>
      <c r="M584" s="168"/>
      <c r="N584" s="168">
        <f ca="1">IFERROR(__xludf.DUMMYFUNCTION("IMPORTRANGE(""https://docs.google.com/spreadsheets/d/11923uPwbBZFjjGgGUA6NLw09EwE0CqkOc4q9oUmW1yo/edit?usp=sharing"",""น่าน!M479"")"),43370)</f>
        <v>43370</v>
      </c>
      <c r="O584" s="168">
        <f t="shared" ca="1" si="124"/>
        <v>14.530773612088318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IFERROR(__xludf.DUMMYFUNCTION("IMPORTRANGE(""https://docs.google.com/spreadsheets/d/11923uPwbBZFjjGgGUA6NLw09EwE0CqkOc4q9oUmW1yo/edit?usp=sharing"",""น่าน!M480"")"),0)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IFERROR(__xludf.DUMMYFUNCTION("IMPORTRANGE(""https://docs.google.com/spreadsheets/d/11923uPwbBZFjjGgGUA6NLw09EwE0CqkOc4q9oUmW1yo/edit?usp=sharing"",""น่าน!M481"")"),0)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IFERROR(__xludf.DUMMYFUNCTION("IMPORTRANGE(""https://docs.google.com/spreadsheets/d/11923uPwbBZFjjGgGUA6NLw09EwE0CqkOc4q9oUmW1yo/edit?usp=sharing"",""น่าน!M482"")"),40320)</f>
        <v>40320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IFERROR(__xludf.DUMMYFUNCTION("IMPORTRANGE(""https://docs.google.com/spreadsheets/d/11923uPwbBZFjjGgGUA6NLw09EwE0CqkOc4q9oUmW1yo/edit?usp=sharing"",""น่าน!M483"")"),3050)</f>
        <v>3050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IFERROR(__xludf.DUMMYFUNCTION("IMPORTRANGE(""https://docs.google.com/spreadsheets/d/11923uPwbBZFjjGgGUA6NLw09EwE0CqkOc4q9oUmW1yo/edit?usp=sharing"",""น่าน!I484"")"),70)</f>
        <v>70</v>
      </c>
      <c r="J589" s="187">
        <f ca="1">IFERROR(__xludf.DUMMYFUNCTION("IMPORTRANGE(""https://docs.google.com/spreadsheets/d/11923uPwbBZFjjGgGUA6NLw09EwE0CqkOc4q9oUmW1yo/edit?usp=sharing"",""น่าน!J484"")"),2)</f>
        <v>2</v>
      </c>
      <c r="K589" s="163">
        <f t="shared" ref="K589:K596" ca="1" si="125">IF(I589&gt;0,J589*100/I589,0)</f>
        <v>2.8571428571428572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IFERROR(__xludf.DUMMYFUNCTION("IMPORTRANGE(""https://docs.google.com/spreadsheets/d/11923uPwbBZFjjGgGUA6NLw09EwE0CqkOc4q9oUmW1yo/edit?usp=sharing"",""น่าน!I485"")"),0)</f>
        <v>0</v>
      </c>
      <c r="J590" s="187">
        <f ca="1">IFERROR(__xludf.DUMMYFUNCTION("IMPORTRANGE(""https://docs.google.com/spreadsheets/d/11923uPwbBZFjjGgGUA6NLw09EwE0CqkOc4q9oUmW1yo/edit?usp=sharing"",""น่าน!J485"")"),1.89)</f>
        <v>1.89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IFERROR(__xludf.DUMMYFUNCTION("IMPORTRANGE(""https://docs.google.com/spreadsheets/d/11923uPwbBZFjjGgGUA6NLw09EwE0CqkOc4q9oUmW1yo/edit?usp=sharing"",""น่าน!I486"")"),70)</f>
        <v>70</v>
      </c>
      <c r="J591" s="187">
        <f ca="1">IFERROR(__xludf.DUMMYFUNCTION("IMPORTRANGE(""https://docs.google.com/spreadsheets/d/11923uPwbBZFjjGgGUA6NLw09EwE0CqkOc4q9oUmW1yo/edit?usp=sharing"",""น่าน!J486"")"),3)</f>
        <v>3</v>
      </c>
      <c r="K591" s="163">
        <f t="shared" ca="1" si="125"/>
        <v>4.2857142857142856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IFERROR(__xludf.DUMMYFUNCTION("IMPORTRANGE(""https://docs.google.com/spreadsheets/d/11923uPwbBZFjjGgGUA6NLw09EwE0CqkOc4q9oUmW1yo/edit?usp=sharing"",""น่าน!I487"")"),0)</f>
        <v>0</v>
      </c>
      <c r="J592" s="187">
        <f ca="1">IFERROR(__xludf.DUMMYFUNCTION("IMPORTRANGE(""https://docs.google.com/spreadsheets/d/11923uPwbBZFjjGgGUA6NLw09EwE0CqkOc4q9oUmW1yo/edit?usp=sharing"",""น่าน!J487"")"),0.91)</f>
        <v>0.91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IFERROR(__xludf.DUMMYFUNCTION("IMPORTRANGE(""https://docs.google.com/spreadsheets/d/11923uPwbBZFjjGgGUA6NLw09EwE0CqkOc4q9oUmW1yo/edit?usp=sharing"",""น่าน!I488"")"),70)</f>
        <v>70</v>
      </c>
      <c r="J593" s="187">
        <f ca="1">IFERROR(__xludf.DUMMYFUNCTION("IMPORTRANGE(""https://docs.google.com/spreadsheets/d/11923uPwbBZFjjGgGUA6NLw09EwE0CqkOc4q9oUmW1yo/edit?usp=sharing"",""น่าน!J488"")"),0)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IFERROR(__xludf.DUMMYFUNCTION("IMPORTRANGE(""https://docs.google.com/spreadsheets/d/11923uPwbBZFjjGgGUA6NLw09EwE0CqkOc4q9oUmW1yo/edit?usp=sharing"",""น่าน!I489"")"),0)</f>
        <v>0</v>
      </c>
      <c r="J594" s="187">
        <f ca="1">IFERROR(__xludf.DUMMYFUNCTION("IMPORTRANGE(""https://docs.google.com/spreadsheets/d/11923uPwbBZFjjGgGUA6NLw09EwE0CqkOc4q9oUmW1yo/edit?usp=sharing"",""น่าน!J489"")"),0)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IFERROR(__xludf.DUMMYFUNCTION("IMPORTRANGE(""https://docs.google.com/spreadsheets/d/11923uPwbBZFjjGgGUA6NLw09EwE0CqkOc4q9oUmW1yo/edit?usp=sharing"",""น่าน!I490"")"),70)</f>
        <v>70</v>
      </c>
      <c r="J595" s="187">
        <f ca="1">IFERROR(__xludf.DUMMYFUNCTION("IMPORTRANGE(""https://docs.google.com/spreadsheets/d/11923uPwbBZFjjGgGUA6NLw09EwE0CqkOc4q9oUmW1yo/edit?usp=sharing"",""น่าน!J490"")"),4)</f>
        <v>4</v>
      </c>
      <c r="K595" s="163">
        <f t="shared" ca="1" si="125"/>
        <v>5.7142857142857144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IFERROR(__xludf.DUMMYFUNCTION("IMPORTRANGE(""https://docs.google.com/spreadsheets/d/11923uPwbBZFjjGgGUA6NLw09EwE0CqkOc4q9oUmW1yo/edit?usp=sharing"",""น่าน!I491"")"),0)</f>
        <v>0</v>
      </c>
      <c r="J596" s="240">
        <f ca="1">IFERROR(__xludf.DUMMYFUNCTION("IMPORTRANGE(""https://docs.google.com/spreadsheets/d/11923uPwbBZFjjGgGUA6NLw09EwE0CqkOc4q9oUmW1yo/edit?usp=sharing"",""น่าน!J491"")"),0.88)</f>
        <v>0.88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IFERROR(__xludf.DUMMYFUNCTION("IMPORTRANGE(""https://docs.google.com/spreadsheets/d/11923uPwbBZFjjGgGUA6NLw09EwE0CqkOc4q9oUmW1yo/edit?usp=sharing"",""น่าน!I492"")"),100)</f>
        <v>100</v>
      </c>
      <c r="J597" s="485">
        <f ca="1">IFERROR(__xludf.DUMMYFUNCTION("IMPORTRANGE(""https://docs.google.com/spreadsheets/d/11923uPwbBZFjjGgGUA6NLw09EwE0CqkOc4q9oUmW1yo/edit?usp=sharing"",""น่าน!J492"")"),0)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IFERROR(__xludf.DUMMYFUNCTION("IMPORTRANGE(""https://docs.google.com/spreadsheets/d/11923uPwbBZFjjGgGUA6NLw09EwE0CqkOc4q9oUmW1yo/edit?usp=sharing"",""น่าน!L492"")"),8900)</f>
        <v>8900</v>
      </c>
      <c r="M597" s="410"/>
      <c r="N597" s="410">
        <f ca="1">IFERROR(__xludf.DUMMYFUNCTION("IMPORTRANGE(""https://docs.google.com/spreadsheets/d/11923uPwbBZFjjGgGUA6NLw09EwE0CqkOc4q9oUmW1yo/edit?usp=sharing"",""น่าน!M492"")"),1800)</f>
        <v>1800</v>
      </c>
      <c r="O597" s="410">
        <f t="shared" ref="O597:O601" ca="1" si="126">+IF(L597&gt;0,N597*100/L597,0)</f>
        <v>20.224719101123597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IFERROR(__xludf.DUMMYFUNCTION("IMPORTRANGE(""https://docs.google.com/spreadsheets/d/11923uPwbBZFjjGgGUA6NLw09EwE0CqkOc4q9oUmW1yo/edit?usp=sharing"",""น่าน!L493"")"),0)</f>
        <v>0</v>
      </c>
      <c r="M598" s="164"/>
      <c r="N598" s="168">
        <f ca="1">IFERROR(__xludf.DUMMYFUNCTION("IMPORTRANGE(""https://docs.google.com/spreadsheets/d/11923uPwbBZFjjGgGUA6NLw09EwE0CqkOc4q9oUmW1yo/edit?usp=sharing"",""น่าน!M493"")"),0)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IFERROR(__xludf.DUMMYFUNCTION("IMPORTRANGE(""https://docs.google.com/spreadsheets/d/11923uPwbBZFjjGgGUA6NLw09EwE0CqkOc4q9oUmW1yo/edit?usp=sharing"",""น่าน!L494"")"),8900)</f>
        <v>8900</v>
      </c>
      <c r="M599" s="165"/>
      <c r="N599" s="168">
        <f ca="1">IFERROR(__xludf.DUMMYFUNCTION("IMPORTRANGE(""https://docs.google.com/spreadsheets/d/11923uPwbBZFjjGgGUA6NLw09EwE0CqkOc4q9oUmW1yo/edit?usp=sharing"",""น่าน!M494"")"),1800)</f>
        <v>1800</v>
      </c>
      <c r="O599" s="168">
        <f t="shared" ca="1" si="126"/>
        <v>20.224719101123597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IFERROR(__xludf.DUMMYFUNCTION("IMPORTRANGE(""https://docs.google.com/spreadsheets/d/11923uPwbBZFjjGgGUA6NLw09EwE0CqkOc4q9oUmW1yo/edit?usp=sharing"",""น่าน!L495"")"),0)</f>
        <v>0</v>
      </c>
      <c r="M600" s="168"/>
      <c r="N600" s="168">
        <f ca="1">IFERROR(__xludf.DUMMYFUNCTION("IMPORTRANGE(""https://docs.google.com/spreadsheets/d/11923uPwbBZFjjGgGUA6NLw09EwE0CqkOc4q9oUmW1yo/edit?usp=sharing"",""น่าน!M495"")"),0)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IFERROR(__xludf.DUMMYFUNCTION("IMPORTRANGE(""https://docs.google.com/spreadsheets/d/11923uPwbBZFjjGgGUA6NLw09EwE0CqkOc4q9oUmW1yo/edit?usp=sharing"",""น่าน!L496"")"),8900)</f>
        <v>8900</v>
      </c>
      <c r="M601" s="168"/>
      <c r="N601" s="168">
        <f ca="1">IFERROR(__xludf.DUMMYFUNCTION("IMPORTRANGE(""https://docs.google.com/spreadsheets/d/11923uPwbBZFjjGgGUA6NLw09EwE0CqkOc4q9oUmW1yo/edit?usp=sharing"",""น่าน!M496"")"),1800)</f>
        <v>1800</v>
      </c>
      <c r="O601" s="168">
        <f t="shared" ca="1" si="126"/>
        <v>20.224719101123597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IFERROR(__xludf.DUMMYFUNCTION("IMPORTRANGE(""https://docs.google.com/spreadsheets/d/11923uPwbBZFjjGgGUA6NLw09EwE0CqkOc4q9oUmW1yo/edit?usp=sharing"",""น่าน!M497"")"),0)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IFERROR(__xludf.DUMMYFUNCTION("IMPORTRANGE(""https://docs.google.com/spreadsheets/d/11923uPwbBZFjjGgGUA6NLw09EwE0CqkOc4q9oUmW1yo/edit?usp=sharing"",""น่าน!M498"")"),0)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IFERROR(__xludf.DUMMYFUNCTION("IMPORTRANGE(""https://docs.google.com/spreadsheets/d/11923uPwbBZFjjGgGUA6NLw09EwE0CqkOc4q9oUmW1yo/edit?usp=sharing"",""น่าน!M499"")"),0)</f>
        <v>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IFERROR(__xludf.DUMMYFUNCTION("IMPORTRANGE(""https://docs.google.com/spreadsheets/d/11923uPwbBZFjjGgGUA6NLw09EwE0CqkOc4q9oUmW1yo/edit?usp=sharing"",""น่าน!M500"")"),1800)</f>
        <v>1800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IFERROR(__xludf.DUMMYFUNCTION("IMPORTRANGE(""https://docs.google.com/spreadsheets/d/11923uPwbBZFjjGgGUA6NLw09EwE0CqkOc4q9oUmW1yo/edit?usp=sharing"",""น่าน!J502"")"),0)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IFERROR(__xludf.DUMMYFUNCTION("IMPORTRANGE(""https://docs.google.com/spreadsheets/d/11923uPwbBZFjjGgGUA6NLw09EwE0CqkOc4q9oUmW1yo/edit?usp=sharing"",""น่าน!J503"")"),1)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IFERROR(__xludf.DUMMYFUNCTION("IMPORTRANGE(""https://docs.google.com/spreadsheets/d/11923uPwbBZFjjGgGUA6NLw09EwE0CqkOc4q9oUmW1yo/edit?usp=sharing"",""น่าน!J166"")"),0)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IFERROR(__xludf.DUMMYFUNCTION("IMPORTRANGE(""https://docs.google.com/spreadsheets/d/11923uPwbBZFjjGgGUA6NLw09EwE0CqkOc4q9oUmW1yo/edit?usp=sharing"",""น่าน!J166"")"),0)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IFERROR(__xludf.DUMMYFUNCTION("IMPORTRANGE(""https://docs.google.com/spreadsheets/d/11923uPwbBZFjjGgGUA6NLw09EwE0CqkOc4q9oUmW1yo/edit?usp=sharing"",""น่าน!I506"")"),100)</f>
        <v>100</v>
      </c>
      <c r="J611" s="162">
        <f ca="1">IFERROR(__xludf.DUMMYFUNCTION("IMPORTRANGE(""https://docs.google.com/spreadsheets/d/11923uPwbBZFjjGgGUA6NLw09EwE0CqkOc4q9oUmW1yo/edit?usp=sharing"",""น่าน!J506"")"),0)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IFERROR(__xludf.DUMMYFUNCTION("IMPORTRANGE(""https://docs.google.com/spreadsheets/d/11923uPwbBZFjjGgGUA6NLw09EwE0CqkOc4q9oUmW1yo/edit?usp=sharing"",""น่าน!I507"")"),0)</f>
        <v>0</v>
      </c>
      <c r="J612" s="197">
        <f ca="1">IFERROR(__xludf.DUMMYFUNCTION("IMPORTRANGE(""https://docs.google.com/spreadsheets/d/11923uPwbBZFjjGgGUA6NLw09EwE0CqkOc4q9oUmW1yo/edit?usp=sharing"",""น่าน!J507"")"),164)</f>
        <v>164</v>
      </c>
      <c r="K612" s="163">
        <f t="shared" ca="1" si="127"/>
        <v>164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IFERROR(__xludf.DUMMYFUNCTION("IMPORTRANGE(""https://docs.google.com/spreadsheets/d/11923uPwbBZFjjGgGUA6NLw09EwE0CqkOc4q9oUmW1yo/edit?usp=sharing"",""น่าน!I508"")"),0)</f>
        <v>0</v>
      </c>
      <c r="J613" s="197">
        <f ca="1">IFERROR(__xludf.DUMMYFUNCTION("IMPORTRANGE(""https://docs.google.com/spreadsheets/d/11923uPwbBZFjjGgGUA6NLw09EwE0CqkOc4q9oUmW1yo/edit?usp=sharing"",""น่าน!J508"")"),0)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IFERROR(__xludf.DUMMYFUNCTION("IMPORTRANGE(""https://docs.google.com/spreadsheets/d/11923uPwbBZFjjGgGUA6NLw09EwE0CqkOc4q9oUmW1yo/edit?usp=sharing"",""น่าน!I509"")"),0)</f>
        <v>0</v>
      </c>
      <c r="J614" s="197">
        <f ca="1">IFERROR(__xludf.DUMMYFUNCTION("IMPORTRANGE(""https://docs.google.com/spreadsheets/d/11923uPwbBZFjjGgGUA6NLw09EwE0CqkOc4q9oUmW1yo/edit?usp=sharing"",""น่าน!J509"")"),97.8)</f>
        <v>97.8</v>
      </c>
      <c r="K614" s="163">
        <f t="shared" ca="1" si="127"/>
        <v>97.8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IFERROR(__xludf.DUMMYFUNCTION("IMPORTRANGE(""https://docs.google.com/spreadsheets/d/11923uPwbBZFjjGgGUA6NLw09EwE0CqkOc4q9oUmW1yo/edit?usp=sharing"",""น่าน!I510"")"),0)</f>
        <v>0</v>
      </c>
      <c r="J615" s="197">
        <f ca="1">IFERROR(__xludf.DUMMYFUNCTION("IMPORTRANGE(""https://docs.google.com/spreadsheets/d/11923uPwbBZFjjGgGUA6NLw09EwE0CqkOc4q9oUmW1yo/edit?usp=sharing"",""น่าน!J510"")"),0)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IFERROR(__xludf.DUMMYFUNCTION("IMPORTRANGE(""https://docs.google.com/spreadsheets/d/11923uPwbBZFjjGgGUA6NLw09EwE0CqkOc4q9oUmW1yo/edit?usp=sharing"",""น่าน!I511"")"),0)</f>
        <v>0</v>
      </c>
      <c r="J616" s="197">
        <f ca="1">IFERROR(__xludf.DUMMYFUNCTION("IMPORTRANGE(""https://docs.google.com/spreadsheets/d/11923uPwbBZFjjGgGUA6NLw09EwE0CqkOc4q9oUmW1yo/edit?usp=sharing"",""น่าน!J511"")"),0)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IFERROR(__xludf.DUMMYFUNCTION("IMPORTRANGE(""https://docs.google.com/spreadsheets/d/11923uPwbBZFjjGgGUA6NLw09EwE0CqkOc4q9oUmW1yo/edit?usp=sharing"",""น่าน!I512"")"),0)</f>
        <v>0</v>
      </c>
      <c r="J617" s="187">
        <f ca="1">IFERROR(__xludf.DUMMYFUNCTION("IMPORTRANGE(""https://docs.google.com/spreadsheets/d/11923uPwbBZFjjGgGUA6NLw09EwE0CqkOc4q9oUmW1yo/edit?usp=sharing"",""น่าน!J512"")"),0)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IFERROR(__xludf.DUMMYFUNCTION("IMPORTRANGE(""https://docs.google.com/spreadsheets/d/11923uPwbBZFjjGgGUA6NLw09EwE0CqkOc4q9oUmW1yo/edit?usp=sharing"",""น่าน!I513"")"),0)</f>
        <v>0</v>
      </c>
      <c r="J618" s="188">
        <f ca="1">IFERROR(__xludf.DUMMYFUNCTION("IMPORTRANGE(""https://docs.google.com/spreadsheets/d/11923uPwbBZFjjGgGUA6NLw09EwE0CqkOc4q9oUmW1yo/edit?usp=sharing"",""น่าน!J513"")"),0)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IFERROR(__xludf.DUMMYFUNCTION("IMPORTRANGE(""https://docs.google.com/spreadsheets/d/11923uPwbBZFjjGgGUA6NLw09EwE0CqkOc4q9oUmW1yo/edit?usp=sharing"",""น่าน!I514"")"),0)</f>
        <v>0</v>
      </c>
      <c r="J619" s="188">
        <f ca="1">IFERROR(__xludf.DUMMYFUNCTION("IMPORTRANGE(""https://docs.google.com/spreadsheets/d/11923uPwbBZFjjGgGUA6NLw09EwE0CqkOc4q9oUmW1yo/edit?usp=sharing"",""น่าน!J514"")"),0)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IFERROR(__xludf.DUMMYFUNCTION("IMPORTRANGE(""https://docs.google.com/spreadsheets/d/11923uPwbBZFjjGgGUA6NLw09EwE0CqkOc4q9oUmW1yo/edit?usp=sharing"",""น่าน!I515"")"),0)</f>
        <v>0</v>
      </c>
      <c r="J620" s="202">
        <f ca="1">IFERROR(__xludf.DUMMYFUNCTION("IMPORTRANGE(""https://docs.google.com/spreadsheets/d/11923uPwbBZFjjGgGUA6NLw09EwE0CqkOc4q9oUmW1yo/edit?usp=sharing"",""น่าน!J515"")"),0)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IFERROR(__xludf.DUMMYFUNCTION("IMPORTRANGE(""https://docs.google.com/spreadsheets/d/11923uPwbBZFjjGgGUA6NLw09EwE0CqkOc4q9oUmW1yo/edit?usp=sharing"",""น่าน!I516"")"),0)</f>
        <v>0</v>
      </c>
      <c r="J621" s="202">
        <f ca="1">IFERROR(__xludf.DUMMYFUNCTION("IMPORTRANGE(""https://docs.google.com/spreadsheets/d/11923uPwbBZFjjGgGUA6NLw09EwE0CqkOc4q9oUmW1yo/edit?usp=sharing"",""น่าน!J516"")"),0)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IFERROR(__xludf.DUMMYFUNCTION("IMPORTRANGE(""https://docs.google.com/spreadsheets/d/11923uPwbBZFjjGgGUA6NLw09EwE0CqkOc4q9oUmW1yo/edit?usp=sharing"",""น่าน!I517"")"),0)</f>
        <v>0</v>
      </c>
      <c r="J622" s="188">
        <f ca="1">IFERROR(__xludf.DUMMYFUNCTION("IMPORTRANGE(""https://docs.google.com/spreadsheets/d/11923uPwbBZFjjGgGUA6NLw09EwE0CqkOc4q9oUmW1yo/edit?usp=sharing"",""น่าน!J517"")"),0)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IFERROR(__xludf.DUMMYFUNCTION("IMPORTRANGE(""https://docs.google.com/spreadsheets/d/11923uPwbBZFjjGgGUA6NLw09EwE0CqkOc4q9oUmW1yo/edit?usp=sharing"",""น่าน!I518"")"),0)</f>
        <v>0</v>
      </c>
      <c r="J623" s="188">
        <f ca="1">IFERROR(__xludf.DUMMYFUNCTION("IMPORTRANGE(""https://docs.google.com/spreadsheets/d/11923uPwbBZFjjGgGUA6NLw09EwE0CqkOc4q9oUmW1yo/edit?usp=sharing"",""น่าน!J518"")"),0)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IFERROR(__xludf.DUMMYFUNCTION("IMPORTRANGE(""https://docs.google.com/spreadsheets/d/11923uPwbBZFjjGgGUA6NLw09EwE0CqkOc4q9oUmW1yo/edit?usp=sharing"",""น่าน!I519"")"),0)</f>
        <v>0</v>
      </c>
      <c r="J624" s="187">
        <f ca="1">IFERROR(__xludf.DUMMYFUNCTION("IMPORTRANGE(""https://docs.google.com/spreadsheets/d/11923uPwbBZFjjGgGUA6NLw09EwE0CqkOc4q9oUmW1yo/edit?usp=sharing"",""น่าน!J519"")"),0)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IFERROR(__xludf.DUMMYFUNCTION("IMPORTRANGE(""https://docs.google.com/spreadsheets/d/11923uPwbBZFjjGgGUA6NLw09EwE0CqkOc4q9oUmW1yo/edit?usp=sharing"",""น่าน!I520"")"),0)</f>
        <v>0</v>
      </c>
      <c r="J625" s="188">
        <f ca="1">IFERROR(__xludf.DUMMYFUNCTION("IMPORTRANGE(""https://docs.google.com/spreadsheets/d/11923uPwbBZFjjGgGUA6NLw09EwE0CqkOc4q9oUmW1yo/edit?usp=sharing"",""น่าน!J520"")"),0)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IFERROR(__xludf.DUMMYFUNCTION("IMPORTRANGE(""https://docs.google.com/spreadsheets/d/11923uPwbBZFjjGgGUA6NLw09EwE0CqkOc4q9oUmW1yo/edit?usp=sharing"",""น่าน!I521"")"),0)</f>
        <v>0</v>
      </c>
      <c r="J626" s="188">
        <f ca="1">IFERROR(__xludf.DUMMYFUNCTION("IMPORTRANGE(""https://docs.google.com/spreadsheets/d/11923uPwbBZFjjGgGUA6NLw09EwE0CqkOc4q9oUmW1yo/edit?usp=sharing"",""น่าน!J521"")"),0)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IFERROR(__xludf.DUMMYFUNCTION("IMPORTRANGE(""https://docs.google.com/spreadsheets/d/11923uPwbBZFjjGgGUA6NLw09EwE0CqkOc4q9oUmW1yo/edit?usp=sharing"",""น่าน!I523"")"),5152563.63)</f>
        <v>5152563.63</v>
      </c>
      <c r="J628" s="339">
        <f ca="1">IFERROR(__xludf.DUMMYFUNCTION("IMPORTRANGE(""https://docs.google.com/spreadsheets/d/11923uPwbBZFjjGgGUA6NLw09EwE0CqkOc4q9oUmW1yo/edit?usp=sharing"",""น่าน!J523"")"),1140816.91)</f>
        <v>1140816.9099999999</v>
      </c>
      <c r="K628" s="340">
        <f t="shared" ref="K628:K635" ca="1" si="129">IF(I628&gt;0,J628*100/I628,0)</f>
        <v>22.140763160260086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IFERROR(__xludf.DUMMYFUNCTION("IMPORTRANGE(""https://docs.google.com/spreadsheets/d/11923uPwbBZFjjGgGUA6NLw09EwE0CqkOc4q9oUmW1yo/edit?usp=sharing"",""น่าน!I524"")"),327)</f>
        <v>327</v>
      </c>
      <c r="J629" s="339">
        <f ca="1">IFERROR(__xludf.DUMMYFUNCTION("IMPORTRANGE(""https://docs.google.com/spreadsheets/d/11923uPwbBZFjjGgGUA6NLw09EwE0CqkOc4q9oUmW1yo/edit?usp=sharing"",""น่าน!J524"")"),82)</f>
        <v>82</v>
      </c>
      <c r="K629" s="340">
        <f t="shared" ca="1" si="129"/>
        <v>25.076452599388379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IFERROR(__xludf.DUMMYFUNCTION("IMPORTRANGE(""https://docs.google.com/spreadsheets/d/11923uPwbBZFjjGgGUA6NLw09EwE0CqkOc4q9oUmW1yo/edit?usp=sharing"",""น่าน!I525"")"),1068977.23)</f>
        <v>1068977.23</v>
      </c>
      <c r="J630" s="339">
        <f ca="1">IFERROR(__xludf.DUMMYFUNCTION("IMPORTRANGE(""https://docs.google.com/spreadsheets/d/11923uPwbBZFjjGgGUA6NLw09EwE0CqkOc4q9oUmW1yo/edit?usp=sharing"",""น่าน!J525"")"),281152.27)</f>
        <v>281152.27</v>
      </c>
      <c r="K630" s="340">
        <f t="shared" ca="1" si="129"/>
        <v>26.301053203911557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IFERROR(__xludf.DUMMYFUNCTION("IMPORTRANGE(""https://docs.google.com/spreadsheets/d/11923uPwbBZFjjGgGUA6NLw09EwE0CqkOc4q9oUmW1yo/edit?usp=sharing"",""น่าน!I526"")"),68)</f>
        <v>68</v>
      </c>
      <c r="J631" s="339">
        <f ca="1">IFERROR(__xludf.DUMMYFUNCTION("IMPORTRANGE(""https://docs.google.com/spreadsheets/d/11923uPwbBZFjjGgGUA6NLw09EwE0CqkOc4q9oUmW1yo/edit?usp=sharing"",""น่าน!J526"")"),55)</f>
        <v>55</v>
      </c>
      <c r="K631" s="340">
        <f t="shared" ca="1" si="129"/>
        <v>80.882352941176464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IFERROR(__xludf.DUMMYFUNCTION("IMPORTRANGE(""https://docs.google.com/spreadsheets/d/11923uPwbBZFjjGgGUA6NLw09EwE0CqkOc4q9oUmW1yo/edit?usp=sharing"",""น่าน!I527"")"),0)</f>
        <v>0</v>
      </c>
      <c r="J632" s="339">
        <f ca="1">IFERROR(__xludf.DUMMYFUNCTION("IMPORTRANGE(""https://docs.google.com/spreadsheets/d/11923uPwbBZFjjGgGUA6NLw09EwE0CqkOc4q9oUmW1yo/edit?usp=sharing"",""น่าน!J527"")"),0)</f>
        <v>0</v>
      </c>
      <c r="K632" s="340">
        <f t="shared" ca="1" si="129"/>
        <v>0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IFERROR(__xludf.DUMMYFUNCTION("IMPORTRANGE(""https://docs.google.com/spreadsheets/d/11923uPwbBZFjjGgGUA6NLw09EwE0CqkOc4q9oUmW1yo/edit?usp=sharing"",""น่าน!I528"")"),0)</f>
        <v>0</v>
      </c>
      <c r="J633" s="339">
        <f ca="1">IFERROR(__xludf.DUMMYFUNCTION("IMPORTRANGE(""https://docs.google.com/spreadsheets/d/11923uPwbBZFjjGgGUA6NLw09EwE0CqkOc4q9oUmW1yo/edit?usp=sharing"",""น่าน!J528"")"),0)</f>
        <v>0</v>
      </c>
      <c r="K633" s="340">
        <f t="shared" ca="1" si="129"/>
        <v>0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IFERROR(__xludf.DUMMYFUNCTION("IMPORTRANGE(""https://docs.google.com/spreadsheets/d/11923uPwbBZFjjGgGUA6NLw09EwE0CqkOc4q9oUmW1yo/edit?usp=sharing"",""น่าน!I529"")"),6000000)</f>
        <v>6000000</v>
      </c>
      <c r="J634" s="339">
        <f ca="1">IFERROR(__xludf.DUMMYFUNCTION("IMPORTRANGE(""https://docs.google.com/spreadsheets/d/11923uPwbBZFjjGgGUA6NLw09EwE0CqkOc4q9oUmW1yo/edit?usp=sharing"",""น่าน!J529"")"),800000)</f>
        <v>800000</v>
      </c>
      <c r="K634" s="340">
        <f t="shared" ca="1" si="129"/>
        <v>13.333333333333334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IFERROR(__xludf.DUMMYFUNCTION("IMPORTRANGE(""https://docs.google.com/spreadsheets/d/11923uPwbBZFjjGgGUA6NLw09EwE0CqkOc4q9oUmW1yo/edit?usp=sharing"",""น่าน!I530"")"),223)</f>
        <v>223</v>
      </c>
      <c r="J635" s="502">
        <f ca="1">IFERROR(__xludf.DUMMYFUNCTION("IMPORTRANGE(""https://docs.google.com/spreadsheets/d/11923uPwbBZFjjGgGUA6NLw09EwE0CqkOc4q9oUmW1yo/edit?usp=sharing"",""น่าน!J530"")"),16)</f>
        <v>16</v>
      </c>
      <c r="K635" s="484">
        <f t="shared" ca="1" si="129"/>
        <v>7.1748878923766819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10" width="13.90625" bestFit="1" customWidth="1"/>
    <col min="11" max="11" width="11" bestFit="1" customWidth="1"/>
    <col min="12" max="13" width="20.08984375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250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6309111</v>
      </c>
      <c r="M8" s="23">
        <f t="shared" ca="1" si="0"/>
        <v>2261154</v>
      </c>
      <c r="N8" s="23">
        <f t="shared" ca="1" si="0"/>
        <v>2353401.0899999989</v>
      </c>
      <c r="O8" s="22">
        <f t="shared" ref="O8:O16" ca="1" si="1">IF(L8&gt;0,N8*100/L8,0)</f>
        <v>37.301627598563392</v>
      </c>
      <c r="P8" s="22">
        <f t="shared" ref="P8:P16" ca="1" si="2">IF(M8&gt;0,N8*100/M8,0)</f>
        <v>104.07964649908847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6309111</v>
      </c>
      <c r="M10" s="30">
        <f t="shared" ca="1" si="4"/>
        <v>2261154</v>
      </c>
      <c r="N10" s="30">
        <f t="shared" ca="1" si="4"/>
        <v>2353401.0899999989</v>
      </c>
      <c r="O10" s="29">
        <f t="shared" ca="1" si="1"/>
        <v>37.301627598563392</v>
      </c>
      <c r="P10" s="29">
        <f t="shared" ca="1" si="2"/>
        <v>104.07964649908847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5917311</v>
      </c>
      <c r="M12" s="38">
        <f t="shared" ca="1" si="6"/>
        <v>1869354</v>
      </c>
      <c r="N12" s="38">
        <f t="shared" ca="1" si="6"/>
        <v>1961601.0899999989</v>
      </c>
      <c r="O12" s="38">
        <f t="shared" ca="1" si="1"/>
        <v>33.15021113475359</v>
      </c>
      <c r="P12" s="38">
        <f t="shared" ca="1" si="2"/>
        <v>104.93470418123046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1732200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4185111</v>
      </c>
      <c r="M14" s="38">
        <f t="shared" si="8"/>
        <v>0</v>
      </c>
      <c r="N14" s="38">
        <f t="shared" ca="1" si="8"/>
        <v>549763.08999999904</v>
      </c>
      <c r="O14" s="38">
        <f t="shared" ca="1" si="1"/>
        <v>13.136165086182876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391800</v>
      </c>
      <c r="M16" s="38">
        <f t="shared" ca="1" si="10"/>
        <v>391800</v>
      </c>
      <c r="N16" s="38">
        <f t="shared" ca="1" si="10"/>
        <v>391800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3768875</v>
      </c>
      <c r="M18" s="23">
        <f t="shared" ca="1" si="11"/>
        <v>2261154</v>
      </c>
      <c r="N18" s="23">
        <f t="shared" ca="1" si="11"/>
        <v>1803638</v>
      </c>
      <c r="O18" s="22">
        <f t="shared" ref="O18:O20" ca="1" si="12">IF(L18&gt;0,N18*100/L18,0)</f>
        <v>47.856137441544227</v>
      </c>
      <c r="P18" s="22">
        <f t="shared" ref="P18:P26" ca="1" si="13">IF(M18&gt;0,N18*100/M18,0)</f>
        <v>79.766260944632691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3768875</v>
      </c>
      <c r="M20" s="30">
        <f t="shared" ca="1" si="15"/>
        <v>2261154</v>
      </c>
      <c r="N20" s="30">
        <f t="shared" ca="1" si="15"/>
        <v>1803638</v>
      </c>
      <c r="O20" s="29">
        <f t="shared" ca="1" si="12"/>
        <v>47.856137441544227</v>
      </c>
      <c r="P20" s="29">
        <f t="shared" ca="1" si="13"/>
        <v>79.766260944632691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3377075</v>
      </c>
      <c r="M22" s="41">
        <f t="shared" ca="1" si="18"/>
        <v>1869354</v>
      </c>
      <c r="N22" s="38">
        <f t="shared" ca="1" si="18"/>
        <v>1411838</v>
      </c>
      <c r="O22" s="38">
        <f t="shared" ca="1" si="17"/>
        <v>41.806533760724889</v>
      </c>
      <c r="P22" s="38">
        <f t="shared" ca="1" si="13"/>
        <v>75.525448898389499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1732200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1644875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391800</v>
      </c>
      <c r="M26" s="49">
        <f t="shared" ca="1" si="22"/>
        <v>391800</v>
      </c>
      <c r="N26" s="49">
        <f t="shared" ca="1" si="22"/>
        <v>391800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2540236</v>
      </c>
      <c r="M28" s="23">
        <f t="shared" si="23"/>
        <v>0</v>
      </c>
      <c r="N28" s="23">
        <f t="shared" ca="1" si="23"/>
        <v>549763.08999999904</v>
      </c>
      <c r="O28" s="22">
        <f t="shared" ref="O28:O30" ca="1" si="24">IF(L28&gt;0,N28*100/L28,0)</f>
        <v>21.642205291161886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2540236</v>
      </c>
      <c r="M30" s="30">
        <f t="shared" si="27"/>
        <v>0</v>
      </c>
      <c r="N30" s="30">
        <f t="shared" ca="1" si="27"/>
        <v>549763.08999999904</v>
      </c>
      <c r="O30" s="29">
        <f t="shared" ca="1" si="24"/>
        <v>21.642205291161886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2540236</v>
      </c>
      <c r="M32" s="38">
        <f t="shared" si="30"/>
        <v>0</v>
      </c>
      <c r="N32" s="38">
        <f t="shared" ca="1" si="30"/>
        <v>549763.08999999904</v>
      </c>
      <c r="O32" s="38">
        <f t="shared" ca="1" si="29"/>
        <v>21.642205291161886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2540236</v>
      </c>
      <c r="M34" s="38">
        <f t="shared" si="32"/>
        <v>0</v>
      </c>
      <c r="N34" s="38">
        <f t="shared" ca="1" si="32"/>
        <v>549763.08999999904</v>
      </c>
      <c r="O34" s="38">
        <f t="shared" ca="1" si="29"/>
        <v>21.642205291161886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3768875</v>
      </c>
      <c r="M37" s="54">
        <f t="shared" ca="1" si="33"/>
        <v>2261154</v>
      </c>
      <c r="N37" s="54">
        <f t="shared" ca="1" si="33"/>
        <v>1803638</v>
      </c>
      <c r="O37" s="55">
        <f t="shared" ca="1" si="29"/>
        <v>47.856137441544227</v>
      </c>
      <c r="P37" s="55">
        <f t="shared" ca="1" si="25"/>
        <v>79.766260944632691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811700</v>
      </c>
      <c r="M41" s="78">
        <f t="shared" ca="1" si="34"/>
        <v>501900</v>
      </c>
      <c r="N41" s="78">
        <f t="shared" ca="1" si="34"/>
        <v>445399</v>
      </c>
      <c r="O41" s="77">
        <f t="shared" ref="O41:O43" ca="1" si="35">IF(L41&gt;0,N41*100/L41,0)</f>
        <v>54.872366637920415</v>
      </c>
      <c r="P41" s="77">
        <f t="shared" ref="P41:P43" ca="1" si="36">IF(M41&gt;0,N41*100/M41,0)</f>
        <v>88.74257820282925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811700</v>
      </c>
      <c r="M43" s="78">
        <f t="shared" ca="1" si="38"/>
        <v>501900</v>
      </c>
      <c r="N43" s="78">
        <f t="shared" ca="1" si="38"/>
        <v>445399</v>
      </c>
      <c r="O43" s="77">
        <f t="shared" ca="1" si="35"/>
        <v>54.872366637920415</v>
      </c>
      <c r="P43" s="77">
        <f t="shared" ca="1" si="36"/>
        <v>88.74257820282925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619700</v>
      </c>
      <c r="M45" s="49">
        <f ca="1">IFERROR(__xludf.DUMMYFUNCTION("IMPORTRANGE(""https://docs.google.com/spreadsheets/d/1Yj_ptqi66GCucihVvJfMjLAmec39IyEx_6qawtMGysU/edit?usp=sharing"",""สบก!Q26"")"),309900)</f>
        <v>309900</v>
      </c>
      <c r="N45" s="49">
        <f ca="1">IFERROR(__xludf.DUMMYFUNCTION("IMPORTRANGE(""https://docs.google.com/spreadsheets/d/1Yj_ptqi66GCucihVvJfMjLAmec39IyEx_6qawtMGysU/edit?usp=sharing"",""สบก!R26"")"),253399)</f>
        <v>253399</v>
      </c>
      <c r="O45" s="38">
        <f ca="1">IF(L45&gt;0,N45*100/L45,0)</f>
        <v>40.890592222042926</v>
      </c>
      <c r="P45" s="38">
        <f ca="1">IF(M45&gt;0,N45*100/M45,0)</f>
        <v>81.767989674088412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IFERROR(__xludf.DUMMYFUNCTION("IMPORTRANGE(""https://docs.google.com/spreadsheets/d/1Yj_ptqi66GCucihVvJfMjLAmec39IyEx_6qawtMGysU/edit?usp=sharing"",""สบก!M26"")"),619700)</f>
        <v>619700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IFERROR(__xludf.DUMMYFUNCTION("IMPORTRANGE(""https://docs.google.com/spreadsheets/d/1Yj_ptqi66GCucihVvJfMjLAmec39IyEx_6qawtMGysU/edit?usp=sharing"",""สบก!N26"")"),0)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IFERROR(__xludf.DUMMYFUNCTION("IMPORTRANGE(""https://docs.google.com/spreadsheets/d/1Yj_ptqi66GCucihVvJfMjLAmec39IyEx_6qawtMGysU/edit?usp=sharing"",""สบก!O26"")"),192000)</f>
        <v>192000</v>
      </c>
      <c r="M49" s="49">
        <f ca="1">L49</f>
        <v>192000</v>
      </c>
      <c r="N49" s="49">
        <f ca="1">IFERROR(__xludf.DUMMYFUNCTION("IMPORTRANGE(""https://docs.google.com/spreadsheets/d/1Yj_ptqi66GCucihVvJfMjLAmec39IyEx_6qawtMGysU/edit?usp=sharing"",""สบก!S26"")"),192000)</f>
        <v>192000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456000</v>
      </c>
      <c r="M53" s="120">
        <f t="shared" ca="1" si="39"/>
        <v>242899</v>
      </c>
      <c r="N53" s="120">
        <f t="shared" ca="1" si="39"/>
        <v>228180</v>
      </c>
      <c r="O53" s="119">
        <f t="shared" ref="O53:O55" ca="1" si="40">IF(L53&gt;0,N53*100/L53,0)</f>
        <v>50.039473684210527</v>
      </c>
      <c r="P53" s="119">
        <f t="shared" ref="P53:P55" ca="1" si="41">IF(M53&gt;0,N53*100/M53,0)</f>
        <v>93.940279704733243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456000</v>
      </c>
      <c r="M55" s="120">
        <f t="shared" ca="1" si="43"/>
        <v>242899</v>
      </c>
      <c r="N55" s="120">
        <f t="shared" ca="1" si="43"/>
        <v>228180</v>
      </c>
      <c r="O55" s="119">
        <f t="shared" ca="1" si="40"/>
        <v>50.039473684210527</v>
      </c>
      <c r="P55" s="119">
        <f t="shared" ca="1" si="41"/>
        <v>93.940279704733243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456000</v>
      </c>
      <c r="M57" s="49">
        <f ca="1">IFERROR(__xludf.DUMMYFUNCTION("IMPORTRANGE(""https://docs.google.com/spreadsheets/d/1Yj_ptqi66GCucihVvJfMjLAmec39IyEx_6qawtMGysU/edit?usp=sharing"",""สบก!Z26"")"),242899)</f>
        <v>242899</v>
      </c>
      <c r="N57" s="49">
        <f ca="1">IFERROR(__xludf.DUMMYFUNCTION("IMPORTRANGE(""https://docs.google.com/spreadsheets/d/1Yj_ptqi66GCucihVvJfMjLAmec39IyEx_6qawtMGysU/edit?usp=sharing"",""สบก!AA26"")"),228180)</f>
        <v>228180</v>
      </c>
      <c r="O57" s="38">
        <f ca="1">IF(L57&gt;0,N57*100/L57,0)</f>
        <v>50.039473684210527</v>
      </c>
      <c r="P57" s="38">
        <f ca="1">IF(M57&gt;0,N57*100/M57,0)</f>
        <v>93.940279704733243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IFERROR(__xludf.DUMMYFUNCTION("IMPORTRANGE(""https://docs.google.com/spreadsheets/d/1Yj_ptqi66GCucihVvJfMjLAmec39IyEx_6qawtMGysU/edit?usp=sharing"",""สบก!V26"")"),456000)</f>
        <v>456000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IFERROR(__xludf.DUMMYFUNCTION("IMPORTRANGE(""https://docs.google.com/spreadsheets/d/1Yj_ptqi66GCucihVvJfMjLAmec39IyEx_6qawtMGysU/edit?usp=sharing"",""สบก!W26"")"),0)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IFERROR(__xludf.DUMMYFUNCTION("IMPORTRANGE(""https://docs.google.com/spreadsheets/d/1Yj_ptqi66GCucihVvJfMjLAmec39IyEx_6qawtMGysU/edit?usp=sharing"",""สบก!X26"")"),0)</f>
        <v>0</v>
      </c>
      <c r="M61" s="49"/>
      <c r="N61" s="49">
        <f ca="1">IFERROR(__xludf.DUMMYFUNCTION("IMPORTRANGE(""https://docs.google.com/spreadsheets/d/1Yj_ptqi66GCucihVvJfMjLAmec39IyEx_6qawtMGysU/edit?usp=sharing"",""สบก!AB26"")"),0)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IFERROR(__xludf.DUMMYFUNCTION("IMPORTRANGE(""https://docs.google.com/spreadsheets/d/11923uPwbBZFjjGgGUA6NLw09EwE0CqkOc4q9oUmW1yo/edit?usp=sharing"",""พะเยา!I9"")"),1)</f>
        <v>1</v>
      </c>
      <c r="J64" s="141">
        <f ca="1">IFERROR(__xludf.DUMMYFUNCTION("IMPORTRANGE(""https://docs.google.com/spreadsheets/d/11923uPwbBZFjjGgGUA6NLw09EwE0CqkOc4q9oUmW1yo/edit?usp=sharing"",""พะเยา!J9"")"),1)</f>
        <v>1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IFERROR(__xludf.DUMMYFUNCTION("IMPORTRANGE(""https://docs.google.com/spreadsheets/d/11923uPwbBZFjjGgGUA6NLw09EwE0CqkOc4q9oUmW1yo/edit?usp=sharing"",""พะเยา!I10"")"),30)</f>
        <v>30</v>
      </c>
      <c r="J65" s="141">
        <f ca="1">IFERROR(__xludf.DUMMYFUNCTION("IMPORTRANGE(""https://docs.google.com/spreadsheets/d/11923uPwbBZFjjGgGUA6NLw09EwE0CqkOc4q9oUmW1yo/edit?usp=sharing"",""พะเยา!J10"")"),30)</f>
        <v>30</v>
      </c>
      <c r="K65" s="142">
        <f t="shared" ca="1" si="44"/>
        <v>100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382000</v>
      </c>
      <c r="M66" s="151">
        <f t="shared" ca="1" si="45"/>
        <v>227620</v>
      </c>
      <c r="N66" s="151">
        <f t="shared" ca="1" si="45"/>
        <v>65484</v>
      </c>
      <c r="O66" s="150">
        <f t="shared" ref="O66:O68" ca="1" si="46">IF(L66&gt;0,N66*100/L66,0)</f>
        <v>17.142408376963349</v>
      </c>
      <c r="P66" s="150">
        <f t="shared" ref="P66:P68" ca="1" si="47">IF(M66&gt;0,N66*100/M66,0)</f>
        <v>28.769000966523151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382000</v>
      </c>
      <c r="M68" s="87">
        <f t="shared" ca="1" si="49"/>
        <v>227620</v>
      </c>
      <c r="N68" s="87">
        <f t="shared" ca="1" si="49"/>
        <v>65484</v>
      </c>
      <c r="O68" s="155">
        <f t="shared" ca="1" si="46"/>
        <v>17.142408376963349</v>
      </c>
      <c r="P68" s="155">
        <f t="shared" ca="1" si="47"/>
        <v>28.769000966523151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382000</v>
      </c>
      <c r="M70" s="167">
        <f ca="1">IFERROR(__xludf.DUMMYFUNCTION("IMPORTRANGE(""https://docs.google.com/spreadsheets/d/1Yj_ptqi66GCucihVvJfMjLAmec39IyEx_6qawtMGysU/edit?usp=sharing"",""สบก!AI26"")"),227620)</f>
        <v>227620</v>
      </c>
      <c r="N70" s="168">
        <f ca="1">IFERROR(__xludf.DUMMYFUNCTION("IMPORTRANGE(""https://docs.google.com/spreadsheets/d/1Yj_ptqi66GCucihVvJfMjLAmec39IyEx_6qawtMGysU/edit?usp=sharing"",""สบก!AJ26"")"),65484)</f>
        <v>65484</v>
      </c>
      <c r="O70" s="168">
        <f ca="1">IF(L70&gt;0,N70*100/L70,0)</f>
        <v>17.142408376963349</v>
      </c>
      <c r="P70" s="168">
        <f ca="1">IF(M70&gt;0,N70*100/M70,0)</f>
        <v>28.769000966523151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IFERROR(__xludf.DUMMYFUNCTION("IMPORTRANGE(""https://docs.google.com/spreadsheets/d/1Yj_ptqi66GCucihVvJfMjLAmec39IyEx_6qawtMGysU/edit?usp=sharing"",""สบก!AE26"")"),0)</f>
        <v>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IFERROR(__xludf.DUMMYFUNCTION("IMPORTRANGE(""https://docs.google.com/spreadsheets/d/1Yj_ptqi66GCucihVvJfMjLAmec39IyEx_6qawtMGysU/edit?usp=sharing"",""สบก!AF26"")"),382000)</f>
        <v>382000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IFERROR(__xludf.DUMMYFUNCTION("IMPORTRANGE(""https://docs.google.com/spreadsheets/d/1Yj_ptqi66GCucihVvJfMjLAmec39IyEx_6qawtMGysU/edit?usp=sharing"",""สบก!AG26"")"),0)</f>
        <v>0</v>
      </c>
      <c r="M74" s="49"/>
      <c r="N74" s="49">
        <f ca="1">IFERROR(__xludf.DUMMYFUNCTION("IMPORTRANGE(""https://docs.google.com/spreadsheets/d/1Yj_ptqi66GCucihVvJfMjLAmec39IyEx_6qawtMGysU/edit?usp=sharing"",""สบก!AK26"")"),0)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IFERROR(__xludf.DUMMYFUNCTION("IMPORTRANGE(""https://docs.google.com/spreadsheets/d/11923uPwbBZFjjGgGUA6NLw09EwE0CqkOc4q9oUmW1yo/edit?usp=sharing"",""พะเยา!J16"")"),0)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IFERROR(__xludf.DUMMYFUNCTION("IMPORTRANGE(""https://docs.google.com/spreadsheets/d/11923uPwbBZFjjGgGUA6NLw09EwE0CqkOc4q9oUmW1yo/edit?usp=sharing"",""พะเยา!J17"")"),1)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IFERROR(__xludf.DUMMYFUNCTION("IMPORTRANGE(""https://docs.google.com/spreadsheets/d/11923uPwbBZFjjGgGUA6NLw09EwE0CqkOc4q9oUmW1yo/edit?usp=sharing"",""พะเยา!J18"")"),1)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IFERROR(__xludf.DUMMYFUNCTION("IMPORTRANGE(""https://docs.google.com/spreadsheets/d/11923uPwbBZFjjGgGUA6NLw09EwE0CqkOc4q9oUmW1yo/edit?usp=sharing"",""พะเยา!J19"")"),1)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IFERROR(__xludf.DUMMYFUNCTION("IMPORTRANGE(""https://docs.google.com/spreadsheets/d/11923uPwbBZFjjGgGUA6NLw09EwE0CqkOc4q9oUmW1yo/edit?usp=sharing"",""พะเยา!I20"")"),1)</f>
        <v>1</v>
      </c>
      <c r="J80" s="200">
        <f ca="1">IFERROR(__xludf.DUMMYFUNCTION("IMPORTRANGE(""https://docs.google.com/spreadsheets/d/11923uPwbBZFjjGgGUA6NLw09EwE0CqkOc4q9oUmW1yo/edit?usp=sharing"",""พะเยา!J20"")"),1)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IFERROR(__xludf.DUMMYFUNCTION("IMPORTRANGE(""https://docs.google.com/spreadsheets/d/11923uPwbBZFjjGgGUA6NLw09EwE0CqkOc4q9oUmW1yo/edit?usp=sharing"",""พะเยา!I21"")"),30)</f>
        <v>30</v>
      </c>
      <c r="J81" s="200">
        <f ca="1">IFERROR(__xludf.DUMMYFUNCTION("IMPORTRANGE(""https://docs.google.com/spreadsheets/d/11923uPwbBZFjjGgGUA6NLw09EwE0CqkOc4q9oUmW1yo/edit?usp=sharing"",""พะเยา!J21"")"),30)</f>
        <v>30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IFERROR(__xludf.DUMMYFUNCTION("IMPORTRANGE(""https://docs.google.com/spreadsheets/d/11923uPwbBZFjjGgGUA6NLw09EwE0CqkOc4q9oUmW1yo/edit?usp=sharing"",""พะเยา!I22"")"),1)</f>
        <v>1</v>
      </c>
      <c r="J82" s="203">
        <f ca="1">IFERROR(__xludf.DUMMYFUNCTION("IMPORTRANGE(""https://docs.google.com/spreadsheets/d/11923uPwbBZFjjGgGUA6NLw09EwE0CqkOc4q9oUmW1yo/edit?usp=sharing"",""พะเยา!J22"")"),1)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IFERROR(__xludf.DUMMYFUNCTION("IMPORTRANGE(""https://docs.google.com/spreadsheets/d/11923uPwbBZFjjGgGUA6NLw09EwE0CqkOc4q9oUmW1yo/edit?usp=sharing"",""พะเยา!I23"")"),30)</f>
        <v>30</v>
      </c>
      <c r="J83" s="203">
        <f ca="1">IFERROR(__xludf.DUMMYFUNCTION("IMPORTRANGE(""https://docs.google.com/spreadsheets/d/11923uPwbBZFjjGgGUA6NLw09EwE0CqkOc4q9oUmW1yo/edit?usp=sharing"",""พะเยา!J23"")"),30)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IFERROR(__xludf.DUMMYFUNCTION("IMPORTRANGE(""https://docs.google.com/spreadsheets/d/11923uPwbBZFjjGgGUA6NLw09EwE0CqkOc4q9oUmW1yo/edit?usp=sharing"",""พะเยา!I24"")"),0)</f>
        <v>0</v>
      </c>
      <c r="J84" s="188">
        <f ca="1">IFERROR(__xludf.DUMMYFUNCTION("IMPORTRANGE(""https://docs.google.com/spreadsheets/d/11923uPwbBZFjjGgGUA6NLw09EwE0CqkOc4q9oUmW1yo/edit?usp=sharing"",""พะเยา!J24"")"),0)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IFERROR(__xludf.DUMMYFUNCTION("IMPORTRANGE(""https://docs.google.com/spreadsheets/d/11923uPwbBZFjjGgGUA6NLw09EwE0CqkOc4q9oUmW1yo/edit?usp=sharing"",""พะเยา!I25"")"),0)</f>
        <v>0</v>
      </c>
      <c r="J85" s="188">
        <f ca="1">IFERROR(__xludf.DUMMYFUNCTION("IMPORTRANGE(""https://docs.google.com/spreadsheets/d/11923uPwbBZFjjGgGUA6NLw09EwE0CqkOc4q9oUmW1yo/edit?usp=sharing"",""พะเยา!J25"")"),0)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IFERROR(__xludf.DUMMYFUNCTION("IMPORTRANGE(""https://docs.google.com/spreadsheets/d/11923uPwbBZFjjGgGUA6NLw09EwE0CqkOc4q9oUmW1yo/edit?usp=sharing"",""พะเยา!I26"")"),0)</f>
        <v>0</v>
      </c>
      <c r="J86" s="203">
        <f ca="1">IFERROR(__xludf.DUMMYFUNCTION("IMPORTRANGE(""https://docs.google.com/spreadsheets/d/11923uPwbBZFjjGgGUA6NLw09EwE0CqkOc4q9oUmW1yo/edit?usp=sharing"",""พะเยา!J26"")"),0)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IFERROR(__xludf.DUMMYFUNCTION("IMPORTRANGE(""https://docs.google.com/spreadsheets/d/11923uPwbBZFjjGgGUA6NLw09EwE0CqkOc4q9oUmW1yo/edit?usp=sharing"",""พะเยา!I27"")"),0)</f>
        <v>0</v>
      </c>
      <c r="J87" s="203">
        <f ca="1">IFERROR(__xludf.DUMMYFUNCTION("IMPORTRANGE(""https://docs.google.com/spreadsheets/d/11923uPwbBZFjjGgGUA6NLw09EwE0CqkOc4q9oUmW1yo/edit?usp=sharing"",""พะเยา!J27"")"),0)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IFERROR(__xludf.DUMMYFUNCTION("IMPORTRANGE(""https://docs.google.com/spreadsheets/d/11923uPwbBZFjjGgGUA6NLw09EwE0CqkOc4q9oUmW1yo/edit?usp=sharing"",""พะเยา!I28"")"),30)</f>
        <v>30</v>
      </c>
      <c r="J88" s="203">
        <f ca="1">IFERROR(__xludf.DUMMYFUNCTION("IMPORTRANGE(""https://docs.google.com/spreadsheets/d/11923uPwbBZFjjGgGUA6NLw09EwE0CqkOc4q9oUmW1yo/edit?usp=sharing"",""พะเยา!J28"")"),0)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IFERROR(__xludf.DUMMYFUNCTION("IMPORTRANGE(""https://docs.google.com/spreadsheets/d/11923uPwbBZFjjGgGUA6NLw09EwE0CqkOc4q9oUmW1yo/edit?usp=sharing"",""พะเยา!J29"")"),0)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IFERROR(__xludf.DUMMYFUNCTION("IMPORTRANGE(""https://docs.google.com/spreadsheets/d/11923uPwbBZFjjGgGUA6NLw09EwE0CqkOc4q9oUmW1yo/edit?usp=sharing"",""พะเยา!J30"")"),0)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IFERROR(__xludf.DUMMYFUNCTION("IMPORTRANGE(""https://docs.google.com/spreadsheets/d/11923uPwbBZFjjGgGUA6NLw09EwE0CqkOc4q9oUmW1yo/edit?usp=sharing"",""พะเยา!I32"")"),7)</f>
        <v>7</v>
      </c>
      <c r="J92" s="141">
        <f ca="1">IFERROR(__xludf.DUMMYFUNCTION("IMPORTRANGE(""https://docs.google.com/spreadsheets/d/11923uPwbBZFjjGgGUA6NLw09EwE0CqkOc4q9oUmW1yo/edit?usp=sharing"",""พะเยา!J32"")"),7)</f>
        <v>7</v>
      </c>
      <c r="K92" s="142">
        <f t="shared" ref="K92:K93" ca="1" si="51">IF(I92&gt;0,J92*100/I92,0)</f>
        <v>100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IFERROR(__xludf.DUMMYFUNCTION("IMPORTRANGE(""https://docs.google.com/spreadsheets/d/11923uPwbBZFjjGgGUA6NLw09EwE0CqkOc4q9oUmW1yo/edit?usp=sharing"",""พะเยา!I33"")"),2)</f>
        <v>2</v>
      </c>
      <c r="J93" s="141">
        <f ca="1">IFERROR(__xludf.DUMMYFUNCTION("IMPORTRANGE(""https://docs.google.com/spreadsheets/d/11923uPwbBZFjjGgGUA6NLw09EwE0CqkOc4q9oUmW1yo/edit?usp=sharing"",""พะเยา!J33"")"),2)</f>
        <v>2</v>
      </c>
      <c r="K93" s="142">
        <f t="shared" ca="1" si="51"/>
        <v>100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318960</v>
      </c>
      <c r="M94" s="151">
        <f t="shared" ca="1" si="52"/>
        <v>265590</v>
      </c>
      <c r="N94" s="151">
        <f t="shared" ca="1" si="52"/>
        <v>229859</v>
      </c>
      <c r="O94" s="150">
        <f t="shared" ref="O94:O96" ca="1" si="53">IF(L94&gt;0,N94*100/L94,0)</f>
        <v>72.065149235013791</v>
      </c>
      <c r="P94" s="150">
        <f t="shared" ref="P94:P96" ca="1" si="54">IF(M94&gt;0,N94*100/M94,0)</f>
        <v>86.546556722768173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318960</v>
      </c>
      <c r="M96" s="87">
        <f t="shared" ca="1" si="56"/>
        <v>265590</v>
      </c>
      <c r="N96" s="87">
        <f t="shared" ca="1" si="56"/>
        <v>229859</v>
      </c>
      <c r="O96" s="155">
        <f t="shared" ca="1" si="53"/>
        <v>72.065149235013791</v>
      </c>
      <c r="P96" s="155">
        <f t="shared" ca="1" si="54"/>
        <v>86.546556722768173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IFERROR(__xludf.DUMMYFUNCTION("IMPORTRANGE(""https://docs.google.com/spreadsheets/d/1Yj_ptqi66GCucihVvJfMjLAmec39IyEx_6qawtMGysU/edit?usp=sharing"",""สบก!AR26"")"),80790)</f>
        <v>80790</v>
      </c>
      <c r="N98" s="168">
        <f ca="1">IFERROR(__xludf.DUMMYFUNCTION("IMPORTRANGE(""https://docs.google.com/spreadsheets/d/1Yj_ptqi66GCucihVvJfMjLAmec39IyEx_6qawtMGysU/edit?usp=sharing"",""สบก!AS26"")"),45059)</f>
        <v>45059</v>
      </c>
      <c r="O98" s="168">
        <f ca="1">IF(L98&gt;0,N98*100/L98,0)</f>
        <v>33.586016696481813</v>
      </c>
      <c r="P98" s="168">
        <f ca="1">IF(M98&gt;0,N98*100/M98,0)</f>
        <v>55.772991706894416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IFERROR(__xludf.DUMMYFUNCTION("IMPORTRANGE(""https://docs.google.com/spreadsheets/d/1Yj_ptqi66GCucihVvJfMjLAmec39IyEx_6qawtMGysU/edit?usp=sharing"",""สบก!AN26"")"),0)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IFERROR(__xludf.DUMMYFUNCTION("IMPORTRANGE(""https://docs.google.com/spreadsheets/d/1Yj_ptqi66GCucihVvJfMjLAmec39IyEx_6qawtMGysU/edit?usp=sharing"",""สบก!AO26"")"),134160)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IFERROR(__xludf.DUMMYFUNCTION("IMPORTRANGE(""https://docs.google.com/spreadsheets/d/1Yj_ptqi66GCucihVvJfMjLAmec39IyEx_6qawtMGysU/edit?usp=sharing"",""สบก!AP26"")"),184800)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IFERROR(__xludf.DUMMYFUNCTION("IMPORTRANGE(""https://docs.google.com/spreadsheets/d/1Yj_ptqi66GCucihVvJfMjLAmec39IyEx_6qawtMGysU/edit?usp=sharing"",""สบก!AT26"")"),184800)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IFERROR(__xludf.DUMMYFUNCTION("IMPORTRANGE(""https://docs.google.com/spreadsheets/d/11923uPwbBZFjjGgGUA6NLw09EwE0CqkOc4q9oUmW1yo/edit?usp=sharing"",""พะเยา!J39"")"),0)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IFERROR(__xludf.DUMMYFUNCTION("IMPORTRANGE(""https://docs.google.com/spreadsheets/d/11923uPwbBZFjjGgGUA6NLw09EwE0CqkOc4q9oUmW1yo/edit?usp=sharing"",""พะเยา!J40"")"),1)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IFERROR(__xludf.DUMMYFUNCTION("IMPORTRANGE(""https://docs.google.com/spreadsheets/d/11923uPwbBZFjjGgGUA6NLw09EwE0CqkOc4q9oUmW1yo/edit?usp=sharing"",""พะเยา!J41"")"),1)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IFERROR(__xludf.DUMMYFUNCTION("IMPORTRANGE(""https://docs.google.com/spreadsheets/d/11923uPwbBZFjjGgGUA6NLw09EwE0CqkOc4q9oUmW1yo/edit?usp=sharing"",""พะเยา!J42"")"),1)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IFERROR(__xludf.DUMMYFUNCTION("IMPORTRANGE(""https://docs.google.com/spreadsheets/d/11923uPwbBZFjjGgGUA6NLw09EwE0CqkOc4q9oUmW1yo/edit?usp=sharing"",""พะเยา!I43"")"),1)</f>
        <v>1</v>
      </c>
      <c r="J108" s="203">
        <f ca="1">IFERROR(__xludf.DUMMYFUNCTION("IMPORTRANGE(""https://docs.google.com/spreadsheets/d/11923uPwbBZFjjGgGUA6NLw09EwE0CqkOc4q9oUmW1yo/edit?usp=sharing"",""พะเยา!J43"")"),1)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IFERROR(__xludf.DUMMYFUNCTION("IMPORTRANGE(""https://docs.google.com/spreadsheets/d/11923uPwbBZFjjGgGUA6NLw09EwE0CqkOc4q9oUmW1yo/edit?usp=sharing"",""พะเยา!I44"")"),7)</f>
        <v>7</v>
      </c>
      <c r="J109" s="203">
        <f ca="1">IFERROR(__xludf.DUMMYFUNCTION("IMPORTRANGE(""https://docs.google.com/spreadsheets/d/11923uPwbBZFjjGgGUA6NLw09EwE0CqkOc4q9oUmW1yo/edit?usp=sharing"",""พะเยา!J44"")"),7)</f>
        <v>7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IFERROR(__xludf.DUMMYFUNCTION("IMPORTRANGE(""https://docs.google.com/spreadsheets/d/11923uPwbBZFjjGgGUA6NLw09EwE0CqkOc4q9oUmW1yo/edit?usp=sharing"",""พะเยา!I45"")"),7)</f>
        <v>7</v>
      </c>
      <c r="J110" s="203">
        <f ca="1">IFERROR(__xludf.DUMMYFUNCTION("IMPORTRANGE(""https://docs.google.com/spreadsheets/d/11923uPwbBZFjjGgGUA6NLw09EwE0CqkOc4q9oUmW1yo/edit?usp=sharing"",""พะเยา!J45"")"),7)</f>
        <v>7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IFERROR(__xludf.DUMMYFUNCTION("IMPORTRANGE(""https://docs.google.com/spreadsheets/d/11923uPwbBZFjjGgGUA6NLw09EwE0CqkOc4q9oUmW1yo/edit?usp=sharing"",""พะเยา!I46"")"),7)</f>
        <v>7</v>
      </c>
      <c r="J111" s="203">
        <f ca="1">IFERROR(__xludf.DUMMYFUNCTION("IMPORTRANGE(""https://docs.google.com/spreadsheets/d/11923uPwbBZFjjGgGUA6NLw09EwE0CqkOc4q9oUmW1yo/edit?usp=sharing"",""พะเยา!J46"")"),0)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IFERROR(__xludf.DUMMYFUNCTION("IMPORTRANGE(""https://docs.google.com/spreadsheets/d/11923uPwbBZFjjGgGUA6NLw09EwE0CqkOc4q9oUmW1yo/edit?usp=sharing"",""พะเยา!I47"")"),7)</f>
        <v>7</v>
      </c>
      <c r="J112" s="203">
        <f ca="1">IFERROR(__xludf.DUMMYFUNCTION("IMPORTRANGE(""https://docs.google.com/spreadsheets/d/11923uPwbBZFjjGgGUA6NLw09EwE0CqkOc4q9oUmW1yo/edit?usp=sharing"",""พะเยา!J47"")"),0)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IFERROR(__xludf.DUMMYFUNCTION("IMPORTRANGE(""https://docs.google.com/spreadsheets/d/11923uPwbBZFjjGgGUA6NLw09EwE0CqkOc4q9oUmW1yo/edit?usp=sharing"",""พะเยา!I48"")"),2)</f>
        <v>2</v>
      </c>
      <c r="J113" s="203">
        <f ca="1">IFERROR(__xludf.DUMMYFUNCTION("IMPORTRANGE(""https://docs.google.com/spreadsheets/d/11923uPwbBZFjjGgGUA6NLw09EwE0CqkOc4q9oUmW1yo/edit?usp=sharing"",""พะเยา!J48"")"),2)</f>
        <v>2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IFERROR(__xludf.DUMMYFUNCTION("IMPORTRANGE(""https://docs.google.com/spreadsheets/d/11923uPwbBZFjjGgGUA6NLw09EwE0CqkOc4q9oUmW1yo/edit?usp=sharing"",""พะเยา!J49"")"),0)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IFERROR(__xludf.DUMMYFUNCTION("IMPORTRANGE(""https://docs.google.com/spreadsheets/d/11923uPwbBZFjjGgGUA6NLw09EwE0CqkOc4q9oUmW1yo/edit?usp=sharing"",""พะเยา!J50"")"),0)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IFERROR(__xludf.DUMMYFUNCTION("IMPORTRANGE(""https://docs.google.com/spreadsheets/d/11923uPwbBZFjjGgGUA6NLw09EwE0CqkOc4q9oUmW1yo/edit?usp=sharing"",""พะเยา!I52"")"),20)</f>
        <v>20</v>
      </c>
      <c r="J117" s="141">
        <f ca="1">IFERROR(__xludf.DUMMYFUNCTION("IMPORTRANGE(""https://docs.google.com/spreadsheets/d/11923uPwbBZFjjGgGUA6NLw09EwE0CqkOc4q9oUmW1yo/edit?usp=sharing"",""พะเยา!J52"")"),20)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38876</v>
      </c>
      <c r="O118" s="150">
        <f t="shared" ref="O118:O120" ca="1" si="59">IF(L118&gt;0,N118*100/L118,0)</f>
        <v>47.156720038816111</v>
      </c>
      <c r="P118" s="150">
        <f t="shared" ref="P118:P120" ca="1" si="60">IF(M118&gt;0,N118*100/M118,0)</f>
        <v>58.512944009632754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38876</v>
      </c>
      <c r="O120" s="155">
        <f t="shared" ca="1" si="59"/>
        <v>47.156720038816111</v>
      </c>
      <c r="P120" s="155">
        <f t="shared" ca="1" si="60"/>
        <v>58.512944009632754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IFERROR(__xludf.DUMMYFUNCTION("IMPORTRANGE(""https://docs.google.com/spreadsheets/d/1Yj_ptqi66GCucihVvJfMjLAmec39IyEx_6qawtMGysU/edit?usp=sharing"",""สบก!BA26"")"),66440)</f>
        <v>66440</v>
      </c>
      <c r="N122" s="168">
        <f ca="1">IFERROR(__xludf.DUMMYFUNCTION("IMPORTRANGE(""https://docs.google.com/spreadsheets/d/1Yj_ptqi66GCucihVvJfMjLAmec39IyEx_6qawtMGysU/edit?usp=sharing"",""สบก!BB26"")"),38876)</f>
        <v>38876</v>
      </c>
      <c r="O122" s="168">
        <f ca="1">IF(L122&gt;0,N122*100/L122,0)</f>
        <v>47.156720038816111</v>
      </c>
      <c r="P122" s="168">
        <f ca="1">IF(M122&gt;0,N122*100/M122,0)</f>
        <v>58.512944009632754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IFERROR(__xludf.DUMMYFUNCTION("IMPORTRANGE(""https://docs.google.com/spreadsheets/d/1Yj_ptqi66GCucihVvJfMjLAmec39IyEx_6qawtMGysU/edit?usp=sharing"",""สบก!AW26"")"),0)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IFERROR(__xludf.DUMMYFUNCTION("IMPORTRANGE(""https://docs.google.com/spreadsheets/d/1Yj_ptqi66GCucihVvJfMjLAmec39IyEx_6qawtMGysU/edit?usp=sharing"",""สบก!AX26"")"),82440)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IFERROR(__xludf.DUMMYFUNCTION("IMPORTRANGE(""https://docs.google.com/spreadsheets/d/1Yj_ptqi66GCucihVvJfMjLAmec39IyEx_6qawtMGysU/edit?usp=sharing"",""สบก!AY26"")"),0)</f>
        <v>0</v>
      </c>
      <c r="M126" s="49"/>
      <c r="N126" s="49">
        <f ca="1">IFERROR(__xludf.DUMMYFUNCTION("IMPORTRANGE(""https://docs.google.com/spreadsheets/d/1Yj_ptqi66GCucihVvJfMjLAmec39IyEx_6qawtMGysU/edit?usp=sharing"",""สบก!BC26"")"),0)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251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IFERROR(__xludf.DUMMYFUNCTION("IMPORTRANGE(""https://docs.google.com/spreadsheets/d/11923uPwbBZFjjGgGUA6NLw09EwE0CqkOc4q9oUmW1yo/edit?usp=sharing"",""พะเยา!J58"")"),0)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IFERROR(__xludf.DUMMYFUNCTION("IMPORTRANGE(""https://docs.google.com/spreadsheets/d/11923uPwbBZFjjGgGUA6NLw09EwE0CqkOc4q9oUmW1yo/edit?usp=sharing"",""พะเยา!J59"")"),1)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IFERROR(__xludf.DUMMYFUNCTION("IMPORTRANGE(""https://docs.google.com/spreadsheets/d/11923uPwbBZFjjGgGUA6NLw09EwE0CqkOc4q9oUmW1yo/edit?usp=sharing"",""พะเยา!J60"")"),1)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IFERROR(__xludf.DUMMYFUNCTION("IMPORTRANGE(""https://docs.google.com/spreadsheets/d/11923uPwbBZFjjGgGUA6NLw09EwE0CqkOc4q9oUmW1yo/edit?usp=sharing"",""พะเยา!J61"")"),1)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IFERROR(__xludf.DUMMYFUNCTION("IMPORTRANGE(""https://docs.google.com/spreadsheets/d/11923uPwbBZFjjGgGUA6NLw09EwE0CqkOc4q9oUmW1yo/edit?usp=sharing"",""พะเยา!I62"")"),20)</f>
        <v>20</v>
      </c>
      <c r="J132" s="203">
        <f ca="1">IFERROR(__xludf.DUMMYFUNCTION("IMPORTRANGE(""https://docs.google.com/spreadsheets/d/11923uPwbBZFjjGgGUA6NLw09EwE0CqkOc4q9oUmW1yo/edit?usp=sharing"",""พะเยา!J62"")"),20)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IFERROR(__xludf.DUMMYFUNCTION("IMPORTRANGE(""https://docs.google.com/spreadsheets/d/11923uPwbBZFjjGgGUA6NLw09EwE0CqkOc4q9oUmW1yo/edit?usp=sharing"",""พะเยา!I63"")"),20)</f>
        <v>20</v>
      </c>
      <c r="J133" s="203">
        <f ca="1">IFERROR(__xludf.DUMMYFUNCTION("IMPORTRANGE(""https://docs.google.com/spreadsheets/d/11923uPwbBZFjjGgGUA6NLw09EwE0CqkOc4q9oUmW1yo/edit?usp=sharing"",""พะเยา!J63"")"),0)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IFERROR(__xludf.DUMMYFUNCTION("IMPORTRANGE(""https://docs.google.com/spreadsheets/d/11923uPwbBZFjjGgGUA6NLw09EwE0CqkOc4q9oUmW1yo/edit?usp=sharing"",""พะเยา!J64"")"),0)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IFERROR(__xludf.DUMMYFUNCTION("IMPORTRANGE(""https://docs.google.com/spreadsheets/d/11923uPwbBZFjjGgGUA6NLw09EwE0CqkOc4q9oUmW1yo/edit?usp=sharing"",""พะเยา!J65"")"),0)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IFERROR(__xludf.DUMMYFUNCTION("IMPORTRANGE(""https://docs.google.com/spreadsheets/d/11923uPwbBZFjjGgGUA6NLw09EwE0CqkOc4q9oUmW1yo/edit?usp=sharing"",""พะเยา!I68"")"),55)</f>
        <v>55</v>
      </c>
      <c r="J138" s="266">
        <f ca="1">IFERROR(__xludf.DUMMYFUNCTION("IMPORTRANGE(""https://docs.google.com/spreadsheets/d/11923uPwbBZFjjGgGUA6NLw09EwE0CqkOc4q9oUmW1yo/edit?usp=sharing"",""พะเยา!J68"")"),55)</f>
        <v>55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828600</v>
      </c>
      <c r="M140" s="151">
        <f t="shared" ca="1" si="64"/>
        <v>456950</v>
      </c>
      <c r="N140" s="151">
        <f t="shared" ca="1" si="64"/>
        <v>410113</v>
      </c>
      <c r="O140" s="150">
        <f t="shared" ref="O140:O142" ca="1" si="65">IF(L140&gt;0,N140*100/L140,0)</f>
        <v>49.494689838281438</v>
      </c>
      <c r="P140" s="150">
        <f t="shared" ref="P140:P142" ca="1" si="66">IF(M140&gt;0,N140*100/M140,0)</f>
        <v>89.750082065871538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828600</v>
      </c>
      <c r="M142" s="87">
        <f t="shared" ca="1" si="68"/>
        <v>456950</v>
      </c>
      <c r="N142" s="87">
        <f t="shared" ca="1" si="68"/>
        <v>410113</v>
      </c>
      <c r="O142" s="155">
        <f t="shared" ca="1" si="65"/>
        <v>49.494689838281438</v>
      </c>
      <c r="P142" s="155">
        <f t="shared" ca="1" si="66"/>
        <v>89.750082065871538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828600</v>
      </c>
      <c r="M144" s="167">
        <f ca="1">IFERROR(__xludf.DUMMYFUNCTION("IMPORTRANGE(""https://docs.google.com/spreadsheets/d/1Yj_ptqi66GCucihVvJfMjLAmec39IyEx_6qawtMGysU/edit?usp=sharing"",""สบก!BJ26"")"),456950)</f>
        <v>456950</v>
      </c>
      <c r="N144" s="168">
        <f ca="1">IFERROR(__xludf.DUMMYFUNCTION("IMPORTRANGE(""https://docs.google.com/spreadsheets/d/1Yj_ptqi66GCucihVvJfMjLAmec39IyEx_6qawtMGysU/edit?usp=sharing"",""สบก!BK26"")"),410113)</f>
        <v>410113</v>
      </c>
      <c r="O144" s="168">
        <f ca="1">IF(L144&gt;0,N144*100/L144,0)</f>
        <v>49.494689838281438</v>
      </c>
      <c r="P144" s="168">
        <f ca="1">IF(M144&gt;0,N144*100/M144,0)</f>
        <v>89.750082065871538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IFERROR(__xludf.DUMMYFUNCTION("IMPORTRANGE(""https://docs.google.com/spreadsheets/d/1Yj_ptqi66GCucihVvJfMjLAmec39IyEx_6qawtMGysU/edit?usp=sharing"",""สบก!BF26"")"),462100)</f>
        <v>462100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IFERROR(__xludf.DUMMYFUNCTION("IMPORTRANGE(""https://docs.google.com/spreadsheets/d/1Yj_ptqi66GCucihVvJfMjLAmec39IyEx_6qawtMGysU/edit?usp=sharing"",""สบก!BG26"")"),366500)</f>
        <v>366500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IFERROR(__xludf.DUMMYFUNCTION("IMPORTRANGE(""https://docs.google.com/spreadsheets/d/1Yj_ptqi66GCucihVvJfMjLAmec39IyEx_6qawtMGysU/edit?usp=sharing"",""สบก!BH26"")"),0)</f>
        <v>0</v>
      </c>
      <c r="M148" s="49"/>
      <c r="N148" s="49">
        <f ca="1">IFERROR(__xludf.DUMMYFUNCTION("IMPORTRANGE(""https://docs.google.com/spreadsheets/d/1Yj_ptqi66GCucihVvJfMjLAmec39IyEx_6qawtMGysU/edit?usp=sharing"",""สบก!BL26"")"),0)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IFERROR(__xludf.DUMMYFUNCTION("IMPORTRANGE(""https://docs.google.com/spreadsheets/d/11923uPwbBZFjjGgGUA6NLw09EwE0CqkOc4q9oUmW1yo/edit?usp=sharing"",""พะเยา!I74"")"),4)</f>
        <v>4</v>
      </c>
      <c r="J149" s="274">
        <f ca="1">IFERROR(__xludf.DUMMYFUNCTION("IMPORTRANGE(""https://docs.google.com/spreadsheets/d/11923uPwbBZFjjGgGUA6NLw09EwE0CqkOc4q9oUmW1yo/edit?usp=sharing"",""พะเยา!J74"")"),1)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IFERROR(__xludf.DUMMYFUNCTION("IMPORTRANGE(""https://docs.google.com/spreadsheets/d/11923uPwbBZFjjGgGUA6NLw09EwE0CqkOc4q9oUmW1yo/edit?usp=sharing"",""พะเยา!J79"")"),0)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IFERROR(__xludf.DUMMYFUNCTION("IMPORTRANGE(""https://docs.google.com/spreadsheets/d/11923uPwbBZFjjGgGUA6NLw09EwE0CqkOc4q9oUmW1yo/edit?usp=sharing"",""พะเยา!J80"")"),1)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IFERROR(__xludf.DUMMYFUNCTION("IMPORTRANGE(""https://docs.google.com/spreadsheets/d/11923uPwbBZFjjGgGUA6NLw09EwE0CqkOc4q9oUmW1yo/edit?usp=sharing"",""พะเยา!J81"")"),1)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IFERROR(__xludf.DUMMYFUNCTION("IMPORTRANGE(""https://docs.google.com/spreadsheets/d/11923uPwbBZFjjGgGUA6NLw09EwE0CqkOc4q9oUmW1yo/edit?usp=sharing"",""พะเยา!J82"")"),1)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IFERROR(__xludf.DUMMYFUNCTION("IMPORTRANGE(""https://docs.google.com/spreadsheets/d/11923uPwbBZFjjGgGUA6NLw09EwE0CqkOc4q9oUmW1yo/edit?usp=sharing"",""พะเยา!I83"")"),4)</f>
        <v>4</v>
      </c>
      <c r="J158" s="188">
        <f ca="1">IFERROR(__xludf.DUMMYFUNCTION("IMPORTRANGE(""https://docs.google.com/spreadsheets/d/11923uPwbBZFjjGgGUA6NLw09EwE0CqkOc4q9oUmW1yo/edit?usp=sharing"",""พะเยา!J83"")"),1)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IFERROR(__xludf.DUMMYFUNCTION("IMPORTRANGE(""https://docs.google.com/spreadsheets/d/11923uPwbBZFjjGgGUA6NLw09EwE0CqkOc4q9oUmW1yo/edit?usp=sharing"",""พะเยา!J84"")"),60)</f>
        <v>60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IFERROR(__xludf.DUMMYFUNCTION("IMPORTRANGE(""https://docs.google.com/spreadsheets/d/11923uPwbBZFjjGgGUA6NLw09EwE0CqkOc4q9oUmW1yo/edit?usp=sharing"",""พะเยา!J85"")"),60)</f>
        <v>60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IFERROR(__xludf.DUMMYFUNCTION("IMPORTRANGE(""https://docs.google.com/spreadsheets/d/11923uPwbBZFjjGgGUA6NLw09EwE0CqkOc4q9oUmW1yo/edit?usp=sharing"",""พะเยา!J86"")"),0)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IFERROR(__xludf.DUMMYFUNCTION("IMPORTRANGE(""https://docs.google.com/spreadsheets/d/11923uPwbBZFjjGgGUA6NLw09EwE0CqkOc4q9oUmW1yo/edit?usp=sharing"",""พะเยา!J87"")"),0)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IFERROR(__xludf.DUMMYFUNCTION("IMPORTRANGE(""https://docs.google.com/spreadsheets/d/11923uPwbBZFjjGgGUA6NLw09EwE0CqkOc4q9oUmW1yo/edit?usp=sharing"",""พะเยา!J88"")"),0)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IFERROR(__xludf.DUMMYFUNCTION("IMPORTRANGE(""https://docs.google.com/spreadsheets/d/11923uPwbBZFjjGgGUA6NLw09EwE0CqkOc4q9oUmW1yo/edit?usp=sharing"",""พะเยา!I89"")"),2)</f>
        <v>2</v>
      </c>
      <c r="J164" s="282">
        <f ca="1">IFERROR(__xludf.DUMMYFUNCTION("IMPORTRANGE(""https://docs.google.com/spreadsheets/d/11923uPwbBZFjjGgGUA6NLw09EwE0CqkOc4q9oUmW1yo/edit?usp=sharing"",""พะเยา!J89"")"),2)</f>
        <v>2</v>
      </c>
      <c r="K164" s="283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IFERROR(__xludf.DUMMYFUNCTION("IMPORTRANGE(""https://docs.google.com/spreadsheets/d/11923uPwbBZFjjGgGUA6NLw09EwE0CqkOc4q9oUmW1yo/edit?usp=sharing"",""พะเยา!J94"")"),0)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IFERROR(__xludf.DUMMYFUNCTION("IMPORTRANGE(""https://docs.google.com/spreadsheets/d/11923uPwbBZFjjGgGUA6NLw09EwE0CqkOc4q9oUmW1yo/edit?usp=sharing"",""พะเยา!J95"")"),1)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IFERROR(__xludf.DUMMYFUNCTION("IMPORTRANGE(""https://docs.google.com/spreadsheets/d/11923uPwbBZFjjGgGUA6NLw09EwE0CqkOc4q9oUmW1yo/edit?usp=sharing"",""พะเยา!J96"")"),1)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IFERROR(__xludf.DUMMYFUNCTION("IMPORTRANGE(""https://docs.google.com/spreadsheets/d/11923uPwbBZFjjGgGUA6NLw09EwE0CqkOc4q9oUmW1yo/edit?usp=sharing"",""พะเยา!J97"")"),1)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IFERROR(__xludf.DUMMYFUNCTION("IMPORTRANGE(""https://docs.google.com/spreadsheets/d/11923uPwbBZFjjGgGUA6NLw09EwE0CqkOc4q9oUmW1yo/edit?usp=sharing"",""พะเยา!I98"")"),2)</f>
        <v>2</v>
      </c>
      <c r="J173" s="188">
        <f ca="1">IFERROR(__xludf.DUMMYFUNCTION("IMPORTRANGE(""https://docs.google.com/spreadsheets/d/11923uPwbBZFjjGgGUA6NLw09EwE0CqkOc4q9oUmW1yo/edit?usp=sharing"",""พะเยา!J98"")"),2)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IFERROR(__xludf.DUMMYFUNCTION("IMPORTRANGE(""https://docs.google.com/spreadsheets/d/11923uPwbBZFjjGgGUA6NLw09EwE0CqkOc4q9oUmW1yo/edit?usp=sharing"",""พะเยา!J99"")"),0)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IFERROR(__xludf.DUMMYFUNCTION("IMPORTRANGE(""https://docs.google.com/spreadsheets/d/11923uPwbBZFjjGgGUA6NLw09EwE0CqkOc4q9oUmW1yo/edit?usp=sharing"",""พะเยา!J100"")"),0)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IFERROR(__xludf.DUMMYFUNCTION("IMPORTRANGE(""https://docs.google.com/spreadsheets/d/11923uPwbBZFjjGgGUA6NLw09EwE0CqkOc4q9oUmW1yo/edit?usp=sharing"",""พะเยา!I101"")"),0)</f>
        <v>0</v>
      </c>
      <c r="J176" s="282">
        <f ca="1">IFERROR(__xludf.DUMMYFUNCTION("IMPORTRANGE(""https://docs.google.com/spreadsheets/d/11923uPwbBZFjjGgGUA6NLw09EwE0CqkOc4q9oUmW1yo/edit?usp=sharing"",""พะเยา!J101"")"),0)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IFERROR(__xludf.DUMMYFUNCTION("IMPORTRANGE(""https://docs.google.com/spreadsheets/d/11923uPwbBZFjjGgGUA6NLw09EwE0CqkOc4q9oUmW1yo/edit?usp=sharing"",""พะเยา!J106"")"),0)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IFERROR(__xludf.DUMMYFUNCTION("IMPORTRANGE(""https://docs.google.com/spreadsheets/d/11923uPwbBZFjjGgGUA6NLw09EwE0CqkOc4q9oUmW1yo/edit?usp=sharing"",""พะเยา!J107"")"),0)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IFERROR(__xludf.DUMMYFUNCTION("IMPORTRANGE(""https://docs.google.com/spreadsheets/d/11923uPwbBZFjjGgGUA6NLw09EwE0CqkOc4q9oUmW1yo/edit?usp=sharing"",""พะเยา!J108"")"),0)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IFERROR(__xludf.DUMMYFUNCTION("IMPORTRANGE(""https://docs.google.com/spreadsheets/d/11923uPwbBZFjjGgGUA6NLw09EwE0CqkOc4q9oUmW1yo/edit?usp=sharing"",""พะเยา!J109"")"),0)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IFERROR(__xludf.DUMMYFUNCTION("IMPORTRANGE(""https://docs.google.com/spreadsheets/d/11923uPwbBZFjjGgGUA6NLw09EwE0CqkOc4q9oUmW1yo/edit?usp=sharing"",""พะเยา!I110"")"),0)</f>
        <v>0</v>
      </c>
      <c r="J185" s="203">
        <f ca="1">IFERROR(__xludf.DUMMYFUNCTION("IMPORTRANGE(""https://docs.google.com/spreadsheets/d/11923uPwbBZFjjGgGUA6NLw09EwE0CqkOc4q9oUmW1yo/edit?usp=sharing"",""พะเยา!J110"")"),0)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IFERROR(__xludf.DUMMYFUNCTION("IMPORTRANGE(""https://docs.google.com/spreadsheets/d/11923uPwbBZFjjGgGUA6NLw09EwE0CqkOc4q9oUmW1yo/edit?usp=sharing"",""พะเยา!I111"")"),0)</f>
        <v>0</v>
      </c>
      <c r="J186" s="203">
        <f ca="1">IFERROR(__xludf.DUMMYFUNCTION("IMPORTRANGE(""https://docs.google.com/spreadsheets/d/11923uPwbBZFjjGgGUA6NLw09EwE0CqkOc4q9oUmW1yo/edit?usp=sharing"",""พะเยา!J111"")"),0)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IFERROR(__xludf.DUMMYFUNCTION("IMPORTRANGE(""https://docs.google.com/spreadsheets/d/11923uPwbBZFjjGgGUA6NLw09EwE0CqkOc4q9oUmW1yo/edit?usp=sharing"",""พะเยา!J112"")"),0)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IFERROR(__xludf.DUMMYFUNCTION("IMPORTRANGE(""https://docs.google.com/spreadsheets/d/11923uPwbBZFjjGgGUA6NLw09EwE0CqkOc4q9oUmW1yo/edit?usp=sharing"",""พะเยา!J113"")"),0)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IFERROR(__xludf.DUMMYFUNCTION("IMPORTRANGE(""https://docs.google.com/spreadsheets/d/11923uPwbBZFjjGgGUA6NLw09EwE0CqkOc4q9oUmW1yo/edit?usp=sharing"",""พะเยา!I114"")"),20000)</f>
        <v>20000</v>
      </c>
      <c r="J189" s="282">
        <f ca="1">IFERROR(__xludf.DUMMYFUNCTION("IMPORTRANGE(""https://docs.google.com/spreadsheets/d/11923uPwbBZFjjGgGUA6NLw09EwE0CqkOc4q9oUmW1yo/edit?usp=sharing"",""พะเยา!J114"")"),0)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IFERROR(__xludf.DUMMYFUNCTION("IMPORTRANGE(""https://docs.google.com/spreadsheets/d/11923uPwbBZFjjGgGUA6NLw09EwE0CqkOc4q9oUmW1yo/edit?usp=sharing"",""พะเยา!J119"")"),0)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IFERROR(__xludf.DUMMYFUNCTION("IMPORTRANGE(""https://docs.google.com/spreadsheets/d/11923uPwbBZFjjGgGUA6NLw09EwE0CqkOc4q9oUmW1yo/edit?usp=sharing"",""พะเยา!J120"")"),1)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IFERROR(__xludf.DUMMYFUNCTION("IMPORTRANGE(""https://docs.google.com/spreadsheets/d/11923uPwbBZFjjGgGUA6NLw09EwE0CqkOc4q9oUmW1yo/edit?usp=sharing"",""พะเยา!J121"")"),1)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IFERROR(__xludf.DUMMYFUNCTION("IMPORTRANGE(""https://docs.google.com/spreadsheets/d/11923uPwbBZFjjGgGUA6NLw09EwE0CqkOc4q9oUmW1yo/edit?usp=sharing"",""พะเยา!J122"")"),1)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IFERROR(__xludf.DUMMYFUNCTION("IMPORTRANGE(""https://docs.google.com/spreadsheets/d/11923uPwbBZFjjGgGUA6NLw09EwE0CqkOc4q9oUmW1yo/edit?usp=sharing"",""พะเยา!I124"")"),20000)</f>
        <v>20000</v>
      </c>
      <c r="J199" s="188">
        <f ca="1">IFERROR(__xludf.DUMMYFUNCTION("IMPORTRANGE(""https://docs.google.com/spreadsheets/d/11923uPwbBZFjjGgGUA6NLw09EwE0CqkOc4q9oUmW1yo/edit?usp=sharing"",""พะเยา!J124"")"),20000)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IFERROR(__xludf.DUMMYFUNCTION("IMPORTRANGE(""https://docs.google.com/spreadsheets/d/11923uPwbBZFjjGgGUA6NLw09EwE0CqkOc4q9oUmW1yo/edit?usp=sharing"",""พะเยา!I125"")"),20000)</f>
        <v>20000</v>
      </c>
      <c r="J200" s="188">
        <f ca="1">IFERROR(__xludf.DUMMYFUNCTION("IMPORTRANGE(""https://docs.google.com/spreadsheets/d/11923uPwbBZFjjGgGUA6NLw09EwE0CqkOc4q9oUmW1yo/edit?usp=sharing"",""พะเยา!J125"")"),0)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IFERROR(__xludf.DUMMYFUNCTION("IMPORTRANGE(""https://docs.google.com/spreadsheets/d/11923uPwbBZFjjGgGUA6NLw09EwE0CqkOc4q9oUmW1yo/edit?usp=sharing"",""พะเยา!I126"")"),15)</f>
        <v>15</v>
      </c>
      <c r="J201" s="188">
        <f ca="1">IFERROR(__xludf.DUMMYFUNCTION("IMPORTRANGE(""https://docs.google.com/spreadsheets/d/11923uPwbBZFjjGgGUA6NLw09EwE0CqkOc4q9oUmW1yo/edit?usp=sharing"",""พะเยา!J126"")"),15)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IFERROR(__xludf.DUMMYFUNCTION("IMPORTRANGE(""https://docs.google.com/spreadsheets/d/11923uPwbBZFjjGgGUA6NLw09EwE0CqkOc4q9oUmW1yo/edit?usp=sharing"",""พะเยา!J127"")"),0)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IFERROR(__xludf.DUMMYFUNCTION("IMPORTRANGE(""https://docs.google.com/spreadsheets/d/11923uPwbBZFjjGgGUA6NLw09EwE0CqkOc4q9oUmW1yo/edit?usp=sharing"",""พะเยา!J128"")"),0)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IFERROR(__xludf.DUMMYFUNCTION("IMPORTRANGE(""https://docs.google.com/spreadsheets/d/11923uPwbBZFjjGgGUA6NLw09EwE0CqkOc4q9oUmW1yo/edit?usp=sharing"",""พะเยา!I129"")"),40)</f>
        <v>40</v>
      </c>
      <c r="J204" s="282">
        <f ca="1">IFERROR(__xludf.DUMMYFUNCTION("IMPORTRANGE(""https://docs.google.com/spreadsheets/d/11923uPwbBZFjjGgGUA6NLw09EwE0CqkOc4q9oUmW1yo/edit?usp=sharing"",""พะเยา!J129"")"),40)</f>
        <v>40</v>
      </c>
      <c r="K204" s="283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IFERROR(__xludf.DUMMYFUNCTION("IMPORTRANGE(""https://docs.google.com/spreadsheets/d/11923uPwbBZFjjGgGUA6NLw09EwE0CqkOc4q9oUmW1yo/edit?usp=sharing"",""พะเยา!J134"")"),0)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IFERROR(__xludf.DUMMYFUNCTION("IMPORTRANGE(""https://docs.google.com/spreadsheets/d/11923uPwbBZFjjGgGUA6NLw09EwE0CqkOc4q9oUmW1yo/edit?usp=sharing"",""พะเยา!J135"")"),1)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IFERROR(__xludf.DUMMYFUNCTION("IMPORTRANGE(""https://docs.google.com/spreadsheets/d/11923uPwbBZFjjGgGUA6NLw09EwE0CqkOc4q9oUmW1yo/edit?usp=sharing"",""พะเยา!J136"")"),1)</f>
        <v>1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IFERROR(__xludf.DUMMYFUNCTION("IMPORTRANGE(""https://docs.google.com/spreadsheets/d/11923uPwbBZFjjGgGUA6NLw09EwE0CqkOc4q9oUmW1yo/edit?usp=sharing"",""พะเยา!J137"")"),1)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IFERROR(__xludf.DUMMYFUNCTION("IMPORTRANGE(""https://docs.google.com/spreadsheets/d/11923uPwbBZFjjGgGUA6NLw09EwE0CqkOc4q9oUmW1yo/edit?usp=sharing"",""พะเยา!I138"")"),40)</f>
        <v>40</v>
      </c>
      <c r="J213" s="203">
        <f ca="1">IFERROR(__xludf.DUMMYFUNCTION("IMPORTRANGE(""https://docs.google.com/spreadsheets/d/11923uPwbBZFjjGgGUA6NLw09EwE0CqkOc4q9oUmW1yo/edit?usp=sharing"",""พะเยา!J138"")"),40)</f>
        <v>40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IFERROR(__xludf.DUMMYFUNCTION("IMPORTRANGE(""https://docs.google.com/spreadsheets/d/11923uPwbBZFjjGgGUA6NLw09EwE0CqkOc4q9oUmW1yo/edit?usp=sharing"",""พะเยา!I140"")"),40)</f>
        <v>40</v>
      </c>
      <c r="J215" s="203">
        <f ca="1">IFERROR(__xludf.DUMMYFUNCTION("IMPORTRANGE(""https://docs.google.com/spreadsheets/d/11923uPwbBZFjjGgGUA6NLw09EwE0CqkOc4q9oUmW1yo/edit?usp=sharing"",""พะเยา!J140"")"),0)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IFERROR(__xludf.DUMMYFUNCTION("IMPORTRANGE(""https://docs.google.com/spreadsheets/d/11923uPwbBZFjjGgGUA6NLw09EwE0CqkOc4q9oUmW1yo/edit?usp=sharing"",""พะเยา!I141"")"),2)</f>
        <v>2</v>
      </c>
      <c r="J216" s="203">
        <f ca="1">IFERROR(__xludf.DUMMYFUNCTION("IMPORTRANGE(""https://docs.google.com/spreadsheets/d/11923uPwbBZFjjGgGUA6NLw09EwE0CqkOc4q9oUmW1yo/edit?usp=sharing"",""พะเยา!J141"")"),0)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IFERROR(__xludf.DUMMYFUNCTION("IMPORTRANGE(""https://docs.google.com/spreadsheets/d/11923uPwbBZFjjGgGUA6NLw09EwE0CqkOc4q9oUmW1yo/edit?usp=sharing"",""พะเยา!J142"")"),0)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IFERROR(__xludf.DUMMYFUNCTION("IMPORTRANGE(""https://docs.google.com/spreadsheets/d/11923uPwbBZFjjGgGUA6NLw09EwE0CqkOc4q9oUmW1yo/edit?usp=sharing"",""พะเยา!J143"")"),0)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IFERROR(__xludf.DUMMYFUNCTION("IMPORTRANGE(""https://docs.google.com/spreadsheets/d/11923uPwbBZFjjGgGUA6NLw09EwE0CqkOc4q9oUmW1yo/edit?usp=sharing"",""พะเยา!I144"")"),15)</f>
        <v>15</v>
      </c>
      <c r="J219" s="266">
        <f ca="1">IFERROR(__xludf.DUMMYFUNCTION("IMPORTRANGE(""https://docs.google.com/spreadsheets/d/11923uPwbBZFjjGgGUA6NLw09EwE0CqkOc4q9oUmW1yo/edit?usp=sharing"",""พะเยา!J144"")"),15)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21125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21125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IFERROR(__xludf.DUMMYFUNCTION("IMPORTRANGE(""https://docs.google.com/spreadsheets/d/1Yj_ptqi66GCucihVvJfMjLAmec39IyEx_6qawtMGysU/edit?usp=sharing"",""สบก!BS26"")"),21125)</f>
        <v>21125</v>
      </c>
      <c r="N224" s="168">
        <f ca="1">IFERROR(__xludf.DUMMYFUNCTION("IMPORTRANGE(""https://docs.google.com/spreadsheets/d/1Yj_ptqi66GCucihVvJfMjLAmec39IyEx_6qawtMGysU/edit?usp=sharing"",""สบก!BT26"")"),21125)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IFERROR(__xludf.DUMMYFUNCTION("IMPORTRANGE(""https://docs.google.com/spreadsheets/d/1Yj_ptqi66GCucihVvJfMjLAmec39IyEx_6qawtMGysU/edit?usp=sharing"",""สบก!BO26"")"),0)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IFERROR(__xludf.DUMMYFUNCTION("IMPORTRANGE(""https://docs.google.com/spreadsheets/d/1Yj_ptqi66GCucihVvJfMjLAmec39IyEx_6qawtMGysU/edit?usp=sharing"",""สบก!BP26"")"),21125)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IFERROR(__xludf.DUMMYFUNCTION("IMPORTRANGE(""https://docs.google.com/spreadsheets/d/1Yj_ptqi66GCucihVvJfMjLAmec39IyEx_6qawtMGysU/edit?usp=sharing"",""สบก!BQ26"")"),0)</f>
        <v>0</v>
      </c>
      <c r="M228" s="49"/>
      <c r="N228" s="49">
        <f ca="1">IFERROR(__xludf.DUMMYFUNCTION("IMPORTRANGE(""https://docs.google.com/spreadsheets/d/1Yj_ptqi66GCucihVvJfMjLAmec39IyEx_6qawtMGysU/edit?usp=sharing"",""สบก!BU26"")"),0)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IFERROR(__xludf.DUMMYFUNCTION("IMPORTRANGE(""https://docs.google.com/spreadsheets/d/11923uPwbBZFjjGgGUA6NLw09EwE0CqkOc4q9oUmW1yo/edit?usp=sharing"",""พะเยา!I149"")"),15)</f>
        <v>15</v>
      </c>
      <c r="J229" s="266">
        <f ca="1">IFERROR(__xludf.DUMMYFUNCTION("IMPORTRANGE(""https://docs.google.com/spreadsheets/d/11923uPwbBZFjjGgGUA6NLw09EwE0CqkOc4q9oUmW1yo/edit?usp=sharing"",""พะเยา!J149"")"),15)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IFERROR(__xludf.DUMMYFUNCTION("IMPORTRANGE(""https://docs.google.com/spreadsheets/d/11923uPwbBZFjjGgGUA6NLw09EwE0CqkOc4q9oUmW1yo/edit?usp=sharing"",""พะเยา!J151"")"),0)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IFERROR(__xludf.DUMMYFUNCTION("IMPORTRANGE(""https://docs.google.com/spreadsheets/d/11923uPwbBZFjjGgGUA6NLw09EwE0CqkOc4q9oUmW1yo/edit?usp=sharing"",""พะเยา!J152"")"),1)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IFERROR(__xludf.DUMMYFUNCTION("IMPORTRANGE(""https://docs.google.com/spreadsheets/d/11923uPwbBZFjjGgGUA6NLw09EwE0CqkOc4q9oUmW1yo/edit?usp=sharing"",""พะเยา!J153"")"),1)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IFERROR(__xludf.DUMMYFUNCTION("IMPORTRANGE(""https://docs.google.com/spreadsheets/d/11923uPwbBZFjjGgGUA6NLw09EwE0CqkOc4q9oUmW1yo/edit?usp=sharing"",""พะเยา!J154"")"),1)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IFERROR(__xludf.DUMMYFUNCTION("IMPORTRANGE(""https://docs.google.com/spreadsheets/d/11923uPwbBZFjjGgGUA6NLw09EwE0CqkOc4q9oUmW1yo/edit?usp=sharing"",""พะเยา!I155"")"),15)</f>
        <v>15</v>
      </c>
      <c r="J235" s="188">
        <f ca="1">IFERROR(__xludf.DUMMYFUNCTION("IMPORTRANGE(""https://docs.google.com/spreadsheets/d/11923uPwbBZFjjGgGUA6NLw09EwE0CqkOc4q9oUmW1yo/edit?usp=sharing"",""พะเยา!J155"")"),15)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IFERROR(__xludf.DUMMYFUNCTION("IMPORTRANGE(""https://docs.google.com/spreadsheets/d/11923uPwbBZFjjGgGUA6NLw09EwE0CqkOc4q9oUmW1yo/edit?usp=sharing"",""พะเยา!J156"")"),0)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IFERROR(__xludf.DUMMYFUNCTION("IMPORTRANGE(""https://docs.google.com/spreadsheets/d/11923uPwbBZFjjGgGUA6NLw09EwE0CqkOc4q9oUmW1yo/edit?usp=sharing"",""พะเยา!J157"")"),0)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IFERROR(__xludf.DUMMYFUNCTION("IMPORTRANGE(""https://docs.google.com/spreadsheets/d/11923uPwbBZFjjGgGUA6NLw09EwE0CqkOc4q9oUmW1yo/edit?usp=sharing"",""พะเยา!I158"")"),0)</f>
        <v>0</v>
      </c>
      <c r="J238" s="266">
        <f ca="1">IFERROR(__xludf.DUMMYFUNCTION("IMPORTRANGE(""https://docs.google.com/spreadsheets/d/11923uPwbBZFjjGgGUA6NLw09EwE0CqkOc4q9oUmW1yo/edit?usp=sharing"",""พะเยา!J158"")"),0)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IFERROR(__xludf.DUMMYFUNCTION("IMPORTRANGE(""https://docs.google.com/spreadsheets/d/11923uPwbBZFjjGgGUA6NLw09EwE0CqkOc4q9oUmW1yo/edit?usp=sharing"",""พะเยา!J159"")"),"")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IFERROR(__xludf.DUMMYFUNCTION("IMPORTRANGE(""https://docs.google.com/spreadsheets/d/11923uPwbBZFjjGgGUA6NLw09EwE0CqkOc4q9oUmW1yo/edit?usp=sharing"",""พะเยา!J161"")"),0)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IFERROR(__xludf.DUMMYFUNCTION("IMPORTRANGE(""https://docs.google.com/spreadsheets/d/11923uPwbBZFjjGgGUA6NLw09EwE0CqkOc4q9oUmW1yo/edit?usp=sharing"",""พะเยา!J162"")"),0)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IFERROR(__xludf.DUMMYFUNCTION("IMPORTRANGE(""https://docs.google.com/spreadsheets/d/11923uPwbBZFjjGgGUA6NLw09EwE0CqkOc4q9oUmW1yo/edit?usp=sharing"",""พะเยา!J163"")"),0)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IFERROR(__xludf.DUMMYFUNCTION("IMPORTRANGE(""https://docs.google.com/spreadsheets/d/11923uPwbBZFjjGgGUA6NLw09EwE0CqkOc4q9oUmW1yo/edit?usp=sharing"",""พะเยา!I164"")"),0)</f>
        <v>0</v>
      </c>
      <c r="J244" s="187">
        <f ca="1">IFERROR(__xludf.DUMMYFUNCTION("IMPORTRANGE(""https://docs.google.com/spreadsheets/d/11923uPwbBZFjjGgGUA6NLw09EwE0CqkOc4q9oUmW1yo/edit?usp=sharing"",""พะเยา!J164"")"),0)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IFERROR(__xludf.DUMMYFUNCTION("IMPORTRANGE(""https://docs.google.com/spreadsheets/d/11923uPwbBZFjjGgGUA6NLw09EwE0CqkOc4q9oUmW1yo/edit?usp=sharing"",""พะเยา!J165"")"),0)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IFERROR(__xludf.DUMMYFUNCTION("IMPORTRANGE(""https://docs.google.com/spreadsheets/d/11923uPwbBZFjjGgGUA6NLw09EwE0CqkOc4q9oUmW1yo/edit?usp=sharing"",""พะเยา!J166"")"),0)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IFERROR(__xludf.DUMMYFUNCTION("IMPORTRANGE(""https://docs.google.com/spreadsheets/d/11923uPwbBZFjjGgGUA6NLw09EwE0CqkOc4q9oUmW1yo/edit?usp=sharing"",""พะเยา!I169"")"),20)</f>
        <v>20</v>
      </c>
      <c r="J249" s="314">
        <f ca="1">IFERROR(__xludf.DUMMYFUNCTION("IMPORTRANGE(""https://docs.google.com/spreadsheets/d/11923uPwbBZFjjGgGUA6NLw09EwE0CqkOc4q9oUmW1yo/edit?usp=sharing"",""พะเยา!J169"")"),20)</f>
        <v>20</v>
      </c>
      <c r="K249" s="315">
        <f ca="1">IF(I249&gt;0,J249*100/I249,0)</f>
        <v>100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71400</v>
      </c>
      <c r="M250" s="151">
        <f t="shared" ca="1" si="77"/>
        <v>37000</v>
      </c>
      <c r="N250" s="151">
        <f t="shared" ca="1" si="77"/>
        <v>24274</v>
      </c>
      <c r="O250" s="150">
        <f t="shared" ref="O250:O252" ca="1" si="78">IF(L250&gt;0,N250*100/L250,0)</f>
        <v>33.997198879551817</v>
      </c>
      <c r="P250" s="150">
        <f t="shared" ref="P250:P252" ca="1" si="79">IF(M250&gt;0,N250*100/M250,0)</f>
        <v>65.605405405405406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71400</v>
      </c>
      <c r="M252" s="87">
        <f t="shared" ca="1" si="81"/>
        <v>37000</v>
      </c>
      <c r="N252" s="87">
        <f t="shared" ca="1" si="81"/>
        <v>24274</v>
      </c>
      <c r="O252" s="155">
        <f t="shared" ca="1" si="78"/>
        <v>33.997198879551817</v>
      </c>
      <c r="P252" s="155">
        <f t="shared" ca="1" si="79"/>
        <v>65.605405405405406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IFERROR(__xludf.DUMMYFUNCTION("IMPORTRANGE(""https://docs.google.com/spreadsheets/d/1Yj_ptqi66GCucihVvJfMjLAmec39IyEx_6qawtMGysU/edit?usp=sharing"",""สบก!CB26"")"),37000)</f>
        <v>37000</v>
      </c>
      <c r="N254" s="168">
        <f ca="1">IFERROR(__xludf.DUMMYFUNCTION("IMPORTRANGE(""https://docs.google.com/spreadsheets/d/1Yj_ptqi66GCucihVvJfMjLAmec39IyEx_6qawtMGysU/edit?usp=sharing"",""สบก!CC26"")"),24274)</f>
        <v>24274</v>
      </c>
      <c r="O254" s="168">
        <f ca="1">IF(L254&gt;0,N254*100/L254,0)</f>
        <v>33.997198879551817</v>
      </c>
      <c r="P254" s="168">
        <f ca="1">IF(M254&gt;0,N254*100/M254,0)</f>
        <v>65.605405405405406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IFERROR(__xludf.DUMMYFUNCTION("IMPORTRANGE(""https://docs.google.com/spreadsheets/d/1Yj_ptqi66GCucihVvJfMjLAmec39IyEx_6qawtMGysU/edit?usp=sharing"",""สบก!BX26"")"),0)</f>
        <v>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IFERROR(__xludf.DUMMYFUNCTION("IMPORTRANGE(""https://docs.google.com/spreadsheets/d/1Yj_ptqi66GCucihVvJfMjLAmec39IyEx_6qawtMGysU/edit?usp=sharing"",""สบก!BY26"")"),71400)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IFERROR(__xludf.DUMMYFUNCTION("IMPORTRANGE(""https://docs.google.com/spreadsheets/d/1Yj_ptqi66GCucihVvJfMjLAmec39IyEx_6qawtMGysU/edit?usp=sharing"",""สบก!BZ26"")"),0)</f>
        <v>0</v>
      </c>
      <c r="M258" s="49"/>
      <c r="N258" s="49">
        <f ca="1">IFERROR(__xludf.DUMMYFUNCTION("IMPORTRANGE(""https://docs.google.com/spreadsheets/d/1Yj_ptqi66GCucihVvJfMjLAmec39IyEx_6qawtMGysU/edit?usp=sharing"",""สบก!CD26"")"),0)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IFERROR(__xludf.DUMMYFUNCTION("IMPORTRANGE(""https://docs.google.com/spreadsheets/d/11923uPwbBZFjjGgGUA6NLw09EwE0CqkOc4q9oUmW1yo/edit?usp=sharing"",""พะเยา!J175"")"),0)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IFERROR(__xludf.DUMMYFUNCTION("IMPORTRANGE(""https://docs.google.com/spreadsheets/d/11923uPwbBZFjjGgGUA6NLw09EwE0CqkOc4q9oUmW1yo/edit?usp=sharing"",""พะเยา!J176"")"),1)</f>
        <v>1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IFERROR(__xludf.DUMMYFUNCTION("IMPORTRANGE(""https://docs.google.com/spreadsheets/d/11923uPwbBZFjjGgGUA6NLw09EwE0CqkOc4q9oUmW1yo/edit?usp=sharing"",""พะเยา!J177"")"),1)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IFERROR(__xludf.DUMMYFUNCTION("IMPORTRANGE(""https://docs.google.com/spreadsheets/d/11923uPwbBZFjjGgGUA6NLw09EwE0CqkOc4q9oUmW1yo/edit?usp=sharing"",""พะเยา!J178"")"),1)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IFERROR(__xludf.DUMMYFUNCTION("IMPORTRANGE(""https://docs.google.com/spreadsheets/d/11923uPwbBZFjjGgGUA6NLw09EwE0CqkOc4q9oUmW1yo/edit?usp=sharing"",""พะเยา!I179"")"),1)</f>
        <v>1</v>
      </c>
      <c r="J264" s="188">
        <f ca="1">IFERROR(__xludf.DUMMYFUNCTION("IMPORTRANGE(""https://docs.google.com/spreadsheets/d/11923uPwbBZFjjGgGUA6NLw09EwE0CqkOc4q9oUmW1yo/edit?usp=sharing"",""พะเยา!J179"")"),1)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IFERROR(__xludf.DUMMYFUNCTION("IMPORTRANGE(""https://docs.google.com/spreadsheets/d/11923uPwbBZFjjGgGUA6NLw09EwE0CqkOc4q9oUmW1yo/edit?usp=sharing"",""พะเยา!I180"")"),20)</f>
        <v>20</v>
      </c>
      <c r="J265" s="188">
        <f ca="1">IFERROR(__xludf.DUMMYFUNCTION("IMPORTRANGE(""https://docs.google.com/spreadsheets/d/11923uPwbBZFjjGgGUA6NLw09EwE0CqkOc4q9oUmW1yo/edit?usp=sharing"",""พะเยา!J180"")"),20)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IFERROR(__xludf.DUMMYFUNCTION("IMPORTRANGE(""https://docs.google.com/spreadsheets/d/11923uPwbBZFjjGgGUA6NLw09EwE0CqkOc4q9oUmW1yo/edit?usp=sharing"",""พะเยา!I181"")"),20)</f>
        <v>20</v>
      </c>
      <c r="J266" s="188">
        <f ca="1">IFERROR(__xludf.DUMMYFUNCTION("IMPORTRANGE(""https://docs.google.com/spreadsheets/d/11923uPwbBZFjjGgGUA6NLw09EwE0CqkOc4q9oUmW1yo/edit?usp=sharing"",""พะเยา!J181"")"),0)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IFERROR(__xludf.DUMMYFUNCTION("IMPORTRANGE(""https://docs.google.com/spreadsheets/d/11923uPwbBZFjjGgGUA6NLw09EwE0CqkOc4q9oUmW1yo/edit?usp=sharing"",""พะเยา!I182"")"),1)</f>
        <v>1</v>
      </c>
      <c r="J267" s="188">
        <f ca="1">IFERROR(__xludf.DUMMYFUNCTION("IMPORTRANGE(""https://docs.google.com/spreadsheets/d/11923uPwbBZFjjGgGUA6NLw09EwE0CqkOc4q9oUmW1yo/edit?usp=sharing"",""พะเยา!J182"")"),1)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IFERROR(__xludf.DUMMYFUNCTION("IMPORTRANGE(""https://docs.google.com/spreadsheets/d/11923uPwbBZFjjGgGUA6NLw09EwE0CqkOc4q9oUmW1yo/edit?usp=sharing"",""พะเยา!J183"")"),0)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IFERROR(__xludf.DUMMYFUNCTION("IMPORTRANGE(""https://docs.google.com/spreadsheets/d/11923uPwbBZFjjGgGUA6NLw09EwE0CqkOc4q9oUmW1yo/edit?usp=sharing"",""พะเยา!J184"")"),0)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IFERROR(__xludf.DUMMYFUNCTION("IMPORTRANGE(""https://docs.google.com/spreadsheets/d/11923uPwbBZFjjGgGUA6NLw09EwE0CqkOc4q9oUmW1yo/edit?usp=sharing"",""พะเยา!I185"")"),20)</f>
        <v>20</v>
      </c>
      <c r="J270" s="314">
        <f ca="1">IFERROR(__xludf.DUMMYFUNCTION("IMPORTRANGE(""https://docs.google.com/spreadsheets/d/11923uPwbBZFjjGgGUA6NLw09EwE0CqkOc4q9oUmW1yo/edit?usp=sharing"",""พะเยา!J185"")"),20)</f>
        <v>20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183600</v>
      </c>
      <c r="M271" s="151">
        <f t="shared" ca="1" si="83"/>
        <v>88000</v>
      </c>
      <c r="N271" s="151">
        <f t="shared" ca="1" si="83"/>
        <v>80729</v>
      </c>
      <c r="O271" s="150">
        <f t="shared" ref="O271:O273" ca="1" si="84">IF(L271&gt;0,N271*100/L271,0)</f>
        <v>43.97004357298475</v>
      </c>
      <c r="P271" s="150">
        <f t="shared" ref="P271:P273" ca="1" si="85">IF(M271&gt;0,N271*100/M271,0)</f>
        <v>91.737499999999997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183600</v>
      </c>
      <c r="M273" s="87">
        <f t="shared" ca="1" si="87"/>
        <v>88000</v>
      </c>
      <c r="N273" s="87">
        <f t="shared" ca="1" si="87"/>
        <v>80729</v>
      </c>
      <c r="O273" s="155">
        <f t="shared" ca="1" si="84"/>
        <v>43.97004357298475</v>
      </c>
      <c r="P273" s="155">
        <f t="shared" ca="1" si="85"/>
        <v>91.737499999999997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IFERROR(__xludf.DUMMYFUNCTION("IMPORTRANGE(""https://docs.google.com/spreadsheets/d/1Yj_ptqi66GCucihVvJfMjLAmec39IyEx_6qawtMGysU/edit?usp=sharing"",""สบก!CK26"")"),88000)</f>
        <v>88000</v>
      </c>
      <c r="N275" s="168">
        <f ca="1">IFERROR(__xludf.DUMMYFUNCTION("IMPORTRANGE(""https://docs.google.com/spreadsheets/d/1Yj_ptqi66GCucihVvJfMjLAmec39IyEx_6qawtMGysU/edit?usp=sharing"",""สบก!CL26"")"),80729)</f>
        <v>80729</v>
      </c>
      <c r="O275" s="168">
        <f ca="1">IF(L275&gt;0,N275*100/L275,0)</f>
        <v>43.97004357298475</v>
      </c>
      <c r="P275" s="168">
        <f ca="1">IF(M275&gt;0,N275*100/M275,0)</f>
        <v>91.737499999999997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IFERROR(__xludf.DUMMYFUNCTION("IMPORTRANGE(""https://docs.google.com/spreadsheets/d/1Yj_ptqi66GCucihVvJfMjLAmec39IyEx_6qawtMGysU/edit?usp=sharing"",""สบก!CG26"")"),0)</f>
        <v>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IFERROR(__xludf.DUMMYFUNCTION("IMPORTRANGE(""https://docs.google.com/spreadsheets/d/1Yj_ptqi66GCucihVvJfMjLAmec39IyEx_6qawtMGysU/edit?usp=sharing"",""สบก!CH26"")"),183600)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IFERROR(__xludf.DUMMYFUNCTION("IMPORTRANGE(""https://docs.google.com/spreadsheets/d/1Yj_ptqi66GCucihVvJfMjLAmec39IyEx_6qawtMGysU/edit?usp=sharing"",""สบก!CI26"")"),0)</f>
        <v>0</v>
      </c>
      <c r="M279" s="49"/>
      <c r="N279" s="49">
        <f ca="1">IFERROR(__xludf.DUMMYFUNCTION("IMPORTRANGE(""https://docs.google.com/spreadsheets/d/1Yj_ptqi66GCucihVvJfMjLAmec39IyEx_6qawtMGysU/edit?usp=sharing"",""สบก!CM26"")"),0)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IFERROR(__xludf.DUMMYFUNCTION("IMPORTRANGE(""https://docs.google.com/spreadsheets/d/11923uPwbBZFjjGgGUA6NLw09EwE0CqkOc4q9oUmW1yo/edit?usp=sharing"",""พะเยา!J191"")"),0)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IFERROR(__xludf.DUMMYFUNCTION("IMPORTRANGE(""https://docs.google.com/spreadsheets/d/11923uPwbBZFjjGgGUA6NLw09EwE0CqkOc4q9oUmW1yo/edit?usp=sharing"",""พะเยา!J192"")"),1)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IFERROR(__xludf.DUMMYFUNCTION("IMPORTRANGE(""https://docs.google.com/spreadsheets/d/11923uPwbBZFjjGgGUA6NLw09EwE0CqkOc4q9oUmW1yo/edit?usp=sharing"",""พะเยา!J193"")"),1)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IFERROR(__xludf.DUMMYFUNCTION("IMPORTRANGE(""https://docs.google.com/spreadsheets/d/11923uPwbBZFjjGgGUA6NLw09EwE0CqkOc4q9oUmW1yo/edit?usp=sharing"",""พะเยา!J194"")"),1)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IFERROR(__xludf.DUMMYFUNCTION("IMPORTRANGE(""https://docs.google.com/spreadsheets/d/11923uPwbBZFjjGgGUA6NLw09EwE0CqkOc4q9oUmW1yo/edit?usp=sharing"",""พะเยา!I195"")"),20)</f>
        <v>20</v>
      </c>
      <c r="J285" s="188">
        <f ca="1">IFERROR(__xludf.DUMMYFUNCTION("IMPORTRANGE(""https://docs.google.com/spreadsheets/d/11923uPwbBZFjjGgGUA6NLw09EwE0CqkOc4q9oUmW1yo/edit?usp=sharing"",""พะเยา!J195"")"),20)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IFERROR(__xludf.DUMMYFUNCTION("IMPORTRANGE(""https://docs.google.com/spreadsheets/d/11923uPwbBZFjjGgGUA6NLw09EwE0CqkOc4q9oUmW1yo/edit?usp=sharing"",""พะเยา!J196"")"),0)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IFERROR(__xludf.DUMMYFUNCTION("IMPORTRANGE(""https://docs.google.com/spreadsheets/d/11923uPwbBZFjjGgGUA6NLw09EwE0CqkOc4q9oUmW1yo/edit?usp=sharing"",""พะเยา!J197"")"),0)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IFERROR(__xludf.DUMMYFUNCTION("IMPORTRANGE(""https://docs.google.com/spreadsheets/d/11923uPwbBZFjjGgGUA6NLw09EwE0CqkOc4q9oUmW1yo/edit?usp=sharing"",""พะเยา!I199"")"),0)</f>
        <v>0</v>
      </c>
      <c r="J289" s="314">
        <f ca="1">IFERROR(__xludf.DUMMYFUNCTION("IMPORTRANGE(""https://docs.google.com/spreadsheets/d/11923uPwbBZFjjGgGUA6NLw09EwE0CqkOc4q9oUmW1yo/edit?usp=sharing"",""พะเยา!J199"")"),0)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IFERROR(__xludf.DUMMYFUNCTION("IMPORTRANGE(""https://docs.google.com/spreadsheets/d/1Yj_ptqi66GCucihVvJfMjLAmec39IyEx_6qawtMGysU/edit?usp=sharing"",""สบก!CT26"")"),0)</f>
        <v>0</v>
      </c>
      <c r="N294" s="168">
        <f ca="1">IFERROR(__xludf.DUMMYFUNCTION("IMPORTRANGE(""https://docs.google.com/spreadsheets/d/1Yj_ptqi66GCucihVvJfMjLAmec39IyEx_6qawtMGysU/edit?usp=sharing"",""สบก!CU26"")"),0)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IFERROR(__xludf.DUMMYFUNCTION("IMPORTRANGE(""https://docs.google.com/spreadsheets/d/1Yj_ptqi66GCucihVvJfMjLAmec39IyEx_6qawtMGysU/edit?usp=sharing"",""สบก!CP26"")"),0)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IFERROR(__xludf.DUMMYFUNCTION("IMPORTRANGE(""https://docs.google.com/spreadsheets/d/1Yj_ptqi66GCucihVvJfMjLAmec39IyEx_6qawtMGysU/edit?usp=sharing"",""สบก!CQ26"")"),0)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IFERROR(__xludf.DUMMYFUNCTION("IMPORTRANGE(""https://docs.google.com/spreadsheets/d/1Yj_ptqi66GCucihVvJfMjLAmec39IyEx_6qawtMGysU/edit?usp=sharing"",""สบก!CR26"")"),0)</f>
        <v>0</v>
      </c>
      <c r="M298" s="49"/>
      <c r="N298" s="49">
        <f ca="1">IFERROR(__xludf.DUMMYFUNCTION("IMPORTRANGE(""https://docs.google.com/spreadsheets/d/1Yj_ptqi66GCucihVvJfMjLAmec39IyEx_6qawtMGysU/edit?usp=sharing"",""สบก!CV26"")"),0)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IFERROR(__xludf.DUMMYFUNCTION("IMPORTRANGE(""https://docs.google.com/spreadsheets/d/11923uPwbBZFjjGgGUA6NLw09EwE0CqkOc4q9oUmW1yo/edit?usp=sharing"",""พะเยา!J205"")"),0)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IFERROR(__xludf.DUMMYFUNCTION("IMPORTRANGE(""https://docs.google.com/spreadsheets/d/11923uPwbBZFjjGgGUA6NLw09EwE0CqkOc4q9oUmW1yo/edit?usp=sharing"",""พะเยา!J206"")"),0)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IFERROR(__xludf.DUMMYFUNCTION("IMPORTRANGE(""https://docs.google.com/spreadsheets/d/11923uPwbBZFjjGgGUA6NLw09EwE0CqkOc4q9oUmW1yo/edit?usp=sharing"",""พะเยา!J207"")"),0)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IFERROR(__xludf.DUMMYFUNCTION("IMPORTRANGE(""https://docs.google.com/spreadsheets/d/11923uPwbBZFjjGgGUA6NLw09EwE0CqkOc4q9oUmW1yo/edit?usp=sharing"",""พะเยา!J208"")"),0)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IFERROR(__xludf.DUMMYFUNCTION("IMPORTRANGE(""https://docs.google.com/spreadsheets/d/11923uPwbBZFjjGgGUA6NLw09EwE0CqkOc4q9oUmW1yo/edit?usp=sharing"",""พะเยา!I209"")"),0)</f>
        <v>0</v>
      </c>
      <c r="J304" s="203">
        <f ca="1">IFERROR(__xludf.DUMMYFUNCTION("IMPORTRANGE(""https://docs.google.com/spreadsheets/d/11923uPwbBZFjjGgGUA6NLw09EwE0CqkOc4q9oUmW1yo/edit?usp=sharing"",""พะเยา!J209"")"),0)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IFERROR(__xludf.DUMMYFUNCTION("IMPORTRANGE(""https://docs.google.com/spreadsheets/d/11923uPwbBZFjjGgGUA6NLw09EwE0CqkOc4q9oUmW1yo/edit?usp=sharing"",""พะเยา!I211"")"),0)</f>
        <v>0</v>
      </c>
      <c r="J306" s="203">
        <f ca="1">IFERROR(__xludf.DUMMYFUNCTION("IMPORTRANGE(""https://docs.google.com/spreadsheets/d/11923uPwbBZFjjGgGUA6NLw09EwE0CqkOc4q9oUmW1yo/edit?usp=sharing"",""พะเยา!J211"")"),0)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IFERROR(__xludf.DUMMYFUNCTION("IMPORTRANGE(""https://docs.google.com/spreadsheets/d/11923uPwbBZFjjGgGUA6NLw09EwE0CqkOc4q9oUmW1yo/edit?usp=sharing"",""พะเยา!J212"")"),0)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IFERROR(__xludf.DUMMYFUNCTION("IMPORTRANGE(""https://docs.google.com/spreadsheets/d/11923uPwbBZFjjGgGUA6NLw09EwE0CqkOc4q9oUmW1yo/edit?usp=sharing"",""พะเยา!J213"")"),0)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IFERROR(__xludf.DUMMYFUNCTION("IMPORTRANGE(""https://docs.google.com/spreadsheets/d/11923uPwbBZFjjGgGUA6NLw09EwE0CqkOc4q9oUmW1yo/edit?usp=sharing"",""พะเยา!I214"")"),0)</f>
        <v>0</v>
      </c>
      <c r="J309" s="331">
        <f ca="1">IFERROR(__xludf.DUMMYFUNCTION("IMPORTRANGE(""https://docs.google.com/spreadsheets/d/11923uPwbBZFjjGgGUA6NLw09EwE0CqkOc4q9oUmW1yo/edit?usp=sharing"",""พะเยา!J214"")"),0)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IFERROR(__xludf.DUMMYFUNCTION("IMPORTRANGE(""https://docs.google.com/spreadsheets/d/1Yj_ptqi66GCucihVvJfMjLAmec39IyEx_6qawtMGysU/edit?usp=sharing"",""สบก!DC26"")"),0)</f>
        <v>0</v>
      </c>
      <c r="N314" s="168">
        <f ca="1">IFERROR(__xludf.DUMMYFUNCTION("IMPORTRANGE(""https://docs.google.com/spreadsheets/d/1Yj_ptqi66GCucihVvJfMjLAmec39IyEx_6qawtMGysU/edit?usp=sharing"",""สบก!DD26"")"),0)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IFERROR(__xludf.DUMMYFUNCTION("IMPORTRANGE(""https://docs.google.com/spreadsheets/d/1Yj_ptqi66GCucihVvJfMjLAmec39IyEx_6qawtMGysU/edit?usp=sharing"",""สบก!CY26"")"),0)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IFERROR(__xludf.DUMMYFUNCTION("IMPORTRANGE(""https://docs.google.com/spreadsheets/d/1Yj_ptqi66GCucihVvJfMjLAmec39IyEx_6qawtMGysU/edit?usp=sharing"",""สบก!CZ26"")"),0)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IFERROR(__xludf.DUMMYFUNCTION("IMPORTRANGE(""https://docs.google.com/spreadsheets/d/1Yj_ptqi66GCucihVvJfMjLAmec39IyEx_6qawtMGysU/edit?usp=sharing"",""สบก!DA26"")"),0)</f>
        <v>0</v>
      </c>
      <c r="M318" s="49"/>
      <c r="N318" s="49">
        <f ca="1">IFERROR(__xludf.DUMMYFUNCTION("IMPORTRANGE(""https://docs.google.com/spreadsheets/d/1Yj_ptqi66GCucihVvJfMjLAmec39IyEx_6qawtMGysU/edit?usp=sharing"",""สบก!DE26"")"),0)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IFERROR(__xludf.DUMMYFUNCTION("IMPORTRANGE(""https://docs.google.com/spreadsheets/d/11923uPwbBZFjjGgGUA6NLw09EwE0CqkOc4q9oUmW1yo/edit?usp=sharing"",""พะเยา!J220"")"),0)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IFERROR(__xludf.DUMMYFUNCTION("IMPORTRANGE(""https://docs.google.com/spreadsheets/d/11923uPwbBZFjjGgGUA6NLw09EwE0CqkOc4q9oUmW1yo/edit?usp=sharing"",""พะเยา!J221"")"),0)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IFERROR(__xludf.DUMMYFUNCTION("IMPORTRANGE(""https://docs.google.com/spreadsheets/d/11923uPwbBZFjjGgGUA6NLw09EwE0CqkOc4q9oUmW1yo/edit?usp=sharing"",""พะเยา!J222"")"),0)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IFERROR(__xludf.DUMMYFUNCTION("IMPORTRANGE(""https://docs.google.com/spreadsheets/d/11923uPwbBZFjjGgGUA6NLw09EwE0CqkOc4q9oUmW1yo/edit?usp=sharing"",""พะเยา!J223"")"),0)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IFERROR(__xludf.DUMMYFUNCTION("IMPORTRANGE(""https://docs.google.com/spreadsheets/d/11923uPwbBZFjjGgGUA6NLw09EwE0CqkOc4q9oUmW1yo/edit?usp=sharing"",""พะเยา!I224"")"),0)</f>
        <v>0</v>
      </c>
      <c r="J324" s="203">
        <f ca="1">IFERROR(__xludf.DUMMYFUNCTION("IMPORTRANGE(""https://docs.google.com/spreadsheets/d/11923uPwbBZFjjGgGUA6NLw09EwE0CqkOc4q9oUmW1yo/edit?usp=sharing"",""พะเยา!J224"")"),0)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IFERROR(__xludf.DUMMYFUNCTION("IMPORTRANGE(""https://docs.google.com/spreadsheets/d/11923uPwbBZFjjGgGUA6NLw09EwE0CqkOc4q9oUmW1yo/edit?usp=sharing"",""พะเยา!J225"")"),0)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IFERROR(__xludf.DUMMYFUNCTION("IMPORTRANGE(""https://docs.google.com/spreadsheets/d/11923uPwbBZFjjGgGUA6NLw09EwE0CqkOc4q9oUmW1yo/edit?usp=sharing"",""พะเยา!J226"")"),0)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IFERROR(__xludf.DUMMYFUNCTION("IMPORTRANGE(""https://docs.google.com/spreadsheets/d/11923uPwbBZFjjGgGUA6NLw09EwE0CqkOc4q9oUmW1yo/edit?usp=sharing"",""พะเยา!I228"")"),580)</f>
        <v>580</v>
      </c>
      <c r="J328" s="337">
        <f ca="1">IFERROR(__xludf.DUMMYFUNCTION("IMPORTRANGE(""https://docs.google.com/spreadsheets/d/11923uPwbBZFjjGgGUA6NLw09EwE0CqkOc4q9oUmW1yo/edit?usp=sharing"",""พะเยา!J228"")"),166)</f>
        <v>166</v>
      </c>
      <c r="K328" s="315">
        <f ca="1">IF(I328&gt;0,J328*100/I328,0)</f>
        <v>28.620689655172413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613050</v>
      </c>
      <c r="M329" s="151">
        <f t="shared" ca="1" si="98"/>
        <v>353630</v>
      </c>
      <c r="N329" s="151">
        <f t="shared" ca="1" si="98"/>
        <v>259599</v>
      </c>
      <c r="O329" s="150">
        <f t="shared" ref="O329:O331" ca="1" si="99">IF(L329&gt;0,N329*100/L329,0)</f>
        <v>42.345485686322483</v>
      </c>
      <c r="P329" s="150">
        <f t="shared" ref="P329:P331" ca="1" si="100">IF(M329&gt;0,N329*100/M329,0)</f>
        <v>73.409778582133868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613050</v>
      </c>
      <c r="M331" s="87">
        <f t="shared" ca="1" si="102"/>
        <v>353630</v>
      </c>
      <c r="N331" s="87">
        <f t="shared" ca="1" si="102"/>
        <v>259599</v>
      </c>
      <c r="O331" s="155">
        <f t="shared" ca="1" si="99"/>
        <v>42.345485686322483</v>
      </c>
      <c r="P331" s="155">
        <f t="shared" ca="1" si="100"/>
        <v>73.409778582133868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598050</v>
      </c>
      <c r="M333" s="167">
        <f ca="1">IFERROR(__xludf.DUMMYFUNCTION("IMPORTRANGE(""https://docs.google.com/spreadsheets/d/1Yj_ptqi66GCucihVvJfMjLAmec39IyEx_6qawtMGysU/edit?usp=sharing"",""สบก!DL26"")"),338630)</f>
        <v>338630</v>
      </c>
      <c r="N333" s="168">
        <f ca="1">IFERROR(__xludf.DUMMYFUNCTION("IMPORTRANGE(""https://docs.google.com/spreadsheets/d/1Yj_ptqi66GCucihVvJfMjLAmec39IyEx_6qawtMGysU/edit?usp=sharing"",""สบก!DM26"")"),244599)</f>
        <v>244599</v>
      </c>
      <c r="O333" s="168">
        <f ca="1">IF(L333&gt;0,N333*100/L333,0)</f>
        <v>40.899423125156758</v>
      </c>
      <c r="P333" s="168">
        <f ca="1">IF(M333&gt;0,N333*100/M333,0)</f>
        <v>72.231934559844078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IFERROR(__xludf.DUMMYFUNCTION("IMPORTRANGE(""https://docs.google.com/spreadsheets/d/1Yj_ptqi66GCucihVvJfMjLAmec39IyEx_6qawtMGysU/edit?usp=sharing"",""สบก!DH26"")"),194400)</f>
        <v>194400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IFERROR(__xludf.DUMMYFUNCTION("IMPORTRANGE(""https://docs.google.com/spreadsheets/d/1Yj_ptqi66GCucihVvJfMjLAmec39IyEx_6qawtMGysU/edit?usp=sharing"",""สบก!DI26"")"),403650)</f>
        <v>403650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IFERROR(__xludf.DUMMYFUNCTION("IMPORTRANGE(""https://docs.google.com/spreadsheets/d/1Yj_ptqi66GCucihVvJfMjLAmec39IyEx_6qawtMGysU/edit?usp=sharing"",""สบก!DJ26"")"),15000)</f>
        <v>15000</v>
      </c>
      <c r="M337" s="49">
        <f ca="1">L337</f>
        <v>15000</v>
      </c>
      <c r="N337" s="49">
        <f ca="1">IFERROR(__xludf.DUMMYFUNCTION("IMPORTRANGE(""https://docs.google.com/spreadsheets/d/1Yj_ptqi66GCucihVvJfMjLAmec39IyEx_6qawtMGysU/edit?usp=sharing"",""สบก!DN26"")"),15000)</f>
        <v>15000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IFERROR(__xludf.DUMMYFUNCTION("IMPORTRANGE(""https://docs.google.com/spreadsheets/d/11923uPwbBZFjjGgGUA6NLw09EwE0CqkOc4q9oUmW1yo/edit?usp=sharing"",""พะเยา!I234"")"),0)</f>
        <v>0</v>
      </c>
      <c r="J339" s="187">
        <f ca="1">IFERROR(__xludf.DUMMYFUNCTION("IMPORTRANGE(""https://docs.google.com/spreadsheets/d/11923uPwbBZFjjGgGUA6NLw09EwE0CqkOc4q9oUmW1yo/edit?usp=sharing"",""พะเยา!J234"")"),87)</f>
        <v>87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IFERROR(__xludf.DUMMYFUNCTION("IMPORTRANGE(""https://docs.google.com/spreadsheets/d/11923uPwbBZFjjGgGUA6NLw09EwE0CqkOc4q9oUmW1yo/edit?usp=sharing"",""พะเยา!I235"")"),2000)</f>
        <v>2000</v>
      </c>
      <c r="J340" s="187">
        <f ca="1">IFERROR(__xludf.DUMMYFUNCTION("IMPORTRANGE(""https://docs.google.com/spreadsheets/d/11923uPwbBZFjjGgGUA6NLw09EwE0CqkOc4q9oUmW1yo/edit?usp=sharing"",""พะเยา!J235"")"),630.9)</f>
        <v>630.9</v>
      </c>
      <c r="K340" s="340">
        <f t="shared" ca="1" si="103"/>
        <v>31.545000000000002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IFERROR(__xludf.DUMMYFUNCTION("IMPORTRANGE(""https://docs.google.com/spreadsheets/d/11923uPwbBZFjjGgGUA6NLw09EwE0CqkOc4q9oUmW1yo/edit?usp=sharing"",""พะเยา!I236"")"),580)</f>
        <v>580</v>
      </c>
      <c r="J341" s="187">
        <f ca="1">IFERROR(__xludf.DUMMYFUNCTION("IMPORTRANGE(""https://docs.google.com/spreadsheets/d/11923uPwbBZFjjGgGUA6NLw09EwE0CqkOc4q9oUmW1yo/edit?usp=sharing"",""พะเยา!J236"")"),160)</f>
        <v>160</v>
      </c>
      <c r="K341" s="340">
        <f t="shared" ca="1" si="103"/>
        <v>27.586206896551722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IFERROR(__xludf.DUMMYFUNCTION("IMPORTRANGE(""https://docs.google.com/spreadsheets/d/11923uPwbBZFjjGgGUA6NLw09EwE0CqkOc4q9oUmW1yo/edit?usp=sharing"",""พะเยา!I237"")"),0)</f>
        <v>0</v>
      </c>
      <c r="J342" s="187">
        <f ca="1">IFERROR(__xludf.DUMMYFUNCTION("IMPORTRANGE(""https://docs.google.com/spreadsheets/d/11923uPwbBZFjjGgGUA6NLw09EwE0CqkOc4q9oUmW1yo/edit?usp=sharing"",""พะเยา!J237"")"),1131.61)</f>
        <v>1131.6099999999999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IFERROR(__xludf.DUMMYFUNCTION("IMPORTRANGE(""https://docs.google.com/spreadsheets/d/11923uPwbBZFjjGgGUA6NLw09EwE0CqkOc4q9oUmW1yo/edit?usp=sharing"",""พะเยา!I238"")"),580)</f>
        <v>580</v>
      </c>
      <c r="J343" s="187">
        <f ca="1">IFERROR(__xludf.DUMMYFUNCTION("IMPORTRANGE(""https://docs.google.com/spreadsheets/d/11923uPwbBZFjjGgGUA6NLw09EwE0CqkOc4q9oUmW1yo/edit?usp=sharing"",""พะเยา!J238"")"),0)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IFERROR(__xludf.DUMMYFUNCTION("IMPORTRANGE(""https://docs.google.com/spreadsheets/d/11923uPwbBZFjjGgGUA6NLw09EwE0CqkOc4q9oUmW1yo/edit?usp=sharing"",""พะเยา!I239"")"),0)</f>
        <v>0</v>
      </c>
      <c r="J344" s="187">
        <f ca="1">IFERROR(__xludf.DUMMYFUNCTION("IMPORTRANGE(""https://docs.google.com/spreadsheets/d/11923uPwbBZFjjGgGUA6NLw09EwE0CqkOc4q9oUmW1yo/edit?usp=sharing"",""พะเยา!J239"")"),0)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IFERROR(__xludf.DUMMYFUNCTION("IMPORTRANGE(""https://docs.google.com/spreadsheets/d/11923uPwbBZFjjGgGUA6NLw09EwE0CqkOc4q9oUmW1yo/edit?usp=sharing"",""พะเยา!I240"")"),580)</f>
        <v>580</v>
      </c>
      <c r="J345" s="187">
        <f ca="1">IFERROR(__xludf.DUMMYFUNCTION("IMPORTRANGE(""https://docs.google.com/spreadsheets/d/11923uPwbBZFjjGgGUA6NLw09EwE0CqkOc4q9oUmW1yo/edit?usp=sharing"",""พะเยา!J240"")"),166)</f>
        <v>166</v>
      </c>
      <c r="K345" s="340">
        <f t="shared" ca="1" si="103"/>
        <v>28.620689655172413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IFERROR(__xludf.DUMMYFUNCTION("IMPORTRANGE(""https://docs.google.com/spreadsheets/d/11923uPwbBZFjjGgGUA6NLw09EwE0CqkOc4q9oUmW1yo/edit?usp=sharing"",""พะเยา!I241"")"),0)</f>
        <v>0</v>
      </c>
      <c r="J346" s="187">
        <f ca="1">IFERROR(__xludf.DUMMYFUNCTION("IMPORTRANGE(""https://docs.google.com/spreadsheets/d/11923uPwbBZFjjGgGUA6NLw09EwE0CqkOc4q9oUmW1yo/edit?usp=sharing"",""พะเยา!J241"")"),1166.40999999999)</f>
        <v>1166.4099999999901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IFERROR(__xludf.DUMMYFUNCTION("IMPORTRANGE(""https://docs.google.com/spreadsheets/d/11923uPwbBZFjjGgGUA6NLw09EwE0CqkOc4q9oUmW1yo/edit?usp=sharing"",""พะเยา!L242"")"),2540236)</f>
        <v>2540236</v>
      </c>
      <c r="M347" s="356"/>
      <c r="N347" s="356">
        <f ca="1">IFERROR(__xludf.DUMMYFUNCTION("IMPORTRANGE(""https://docs.google.com/spreadsheets/d/11923uPwbBZFjjGgGUA6NLw09EwE0CqkOc4q9oUmW1yo/edit?usp=sharing"",""พะเยา!M242"")"),549763.09)</f>
        <v>549763.09</v>
      </c>
      <c r="O347" s="356">
        <f ca="1">+IF(L347&gt;0,N347*100/L347,0)</f>
        <v>21.642205291161922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IFERROR(__xludf.DUMMYFUNCTION("IMPORTRANGE(""https://docs.google.com/spreadsheets/d/11923uPwbBZFjjGgGUA6NLw09EwE0CqkOc4q9oUmW1yo/edit?usp=sharing"",""พะเยา!I244"")"),105)</f>
        <v>105</v>
      </c>
      <c r="J349" s="369">
        <f ca="1">IFERROR(__xludf.DUMMYFUNCTION("IMPORTRANGE(""https://docs.google.com/spreadsheets/d/11923uPwbBZFjjGgGUA6NLw09EwE0CqkOc4q9oUmW1yo/edit?usp=sharing"",""พะเยา!J244"")"),0)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IFERROR(__xludf.DUMMYFUNCTION("IMPORTRANGE(""https://docs.google.com/spreadsheets/d/11923uPwbBZFjjGgGUA6NLw09EwE0CqkOc4q9oUmW1yo/edit?usp=sharing"",""พะเยา!L244"")"),363980)</f>
        <v>363980</v>
      </c>
      <c r="M349" s="371"/>
      <c r="N349" s="371">
        <f ca="1">IFERROR(__xludf.DUMMYFUNCTION("IMPORTRANGE(""https://docs.google.com/spreadsheets/d/11923uPwbBZFjjGgGUA6NLw09EwE0CqkOc4q9oUmW1yo/edit?usp=sharing"",""พะเยา!M244"")"),107742.739999999)</f>
        <v>107742.739999999</v>
      </c>
      <c r="O349" s="371">
        <f ca="1">+IF(L349&gt;0,N349*100/L349,0)</f>
        <v>29.601280290125555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IFERROR(__xludf.DUMMYFUNCTION("IMPORTRANGE(""https://docs.google.com/spreadsheets/d/11923uPwbBZFjjGgGUA6NLw09EwE0CqkOc4q9oUmW1yo/edit?usp=sharing"",""พะเยา!I245"")"),60)</f>
        <v>60</v>
      </c>
      <c r="J350" s="369">
        <f ca="1">IFERROR(__xludf.DUMMYFUNCTION("IMPORTRANGE(""https://docs.google.com/spreadsheets/d/11923uPwbBZFjjGgGUA6NLw09EwE0CqkOc4q9oUmW1yo/edit?usp=sharing"",""พะเยา!J245"")"),0)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IFERROR(__xludf.DUMMYFUNCTION("IMPORTRANGE(""https://docs.google.com/spreadsheets/d/11923uPwbBZFjjGgGUA6NLw09EwE0CqkOc4q9oUmW1yo/edit?usp=sharing"",""พะเยา!L246"")"),0)</f>
        <v>0</v>
      </c>
      <c r="M351" s="164"/>
      <c r="N351" s="164">
        <f ca="1">IFERROR(__xludf.DUMMYFUNCTION("IMPORTRANGE(""https://docs.google.com/spreadsheets/d/11923uPwbBZFjjGgGUA6NLw09EwE0CqkOc4q9oUmW1yo/edit?usp=sharing"",""พะเยา!M246"")"),0)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IFERROR(__xludf.DUMMYFUNCTION("IMPORTRANGE(""https://docs.google.com/spreadsheets/d/11923uPwbBZFjjGgGUA6NLw09EwE0CqkOc4q9oUmW1yo/edit?usp=sharing"",""พะเยา!L247"")"),363980)</f>
        <v>363980</v>
      </c>
      <c r="M352" s="165"/>
      <c r="N352" s="164">
        <f ca="1">IFERROR(__xludf.DUMMYFUNCTION("IMPORTRANGE(""https://docs.google.com/spreadsheets/d/11923uPwbBZFjjGgGUA6NLw09EwE0CqkOc4q9oUmW1yo/edit?usp=sharing"",""พะเยา!M247"")"),107742.739999999)</f>
        <v>107742.739999999</v>
      </c>
      <c r="O352" s="165">
        <f t="shared" ca="1" si="105"/>
        <v>29.601280290125555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IFERROR(__xludf.DUMMYFUNCTION("IMPORTRANGE(""https://docs.google.com/spreadsheets/d/11923uPwbBZFjjGgGUA6NLw09EwE0CqkOc4q9oUmW1yo/edit?usp=sharing"",""พะเยา!L248"")"),0)</f>
        <v>0</v>
      </c>
      <c r="M353" s="168"/>
      <c r="N353" s="168">
        <f ca="1">IFERROR(__xludf.DUMMYFUNCTION("IMPORTRANGE(""https://docs.google.com/spreadsheets/d/11923uPwbBZFjjGgGUA6NLw09EwE0CqkOc4q9oUmW1yo/edit?usp=sharing"",""พะเยา!M248"")"),0)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IFERROR(__xludf.DUMMYFUNCTION("IMPORTRANGE(""https://docs.google.com/spreadsheets/d/11923uPwbBZFjjGgGUA6NLw09EwE0CqkOc4q9oUmW1yo/edit?usp=sharing"",""พะเยา!L249"")"),363980)</f>
        <v>363980</v>
      </c>
      <c r="M354" s="168"/>
      <c r="N354" s="167">
        <f ca="1">IFERROR(__xludf.DUMMYFUNCTION("IMPORTRANGE(""https://docs.google.com/spreadsheets/d/11923uPwbBZFjjGgGUA6NLw09EwE0CqkOc4q9oUmW1yo/edit?usp=sharing"",""พะเยา!M249"")"),107742.739999999)</f>
        <v>107742.739999999</v>
      </c>
      <c r="O354" s="168">
        <f t="shared" ca="1" si="105"/>
        <v>29.601280290125555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IFERROR(__xludf.DUMMYFUNCTION("IMPORTRANGE(""https://docs.google.com/spreadsheets/d/11923uPwbBZFjjGgGUA6NLw09EwE0CqkOc4q9oUmW1yo/edit?usp=sharing"",""พะเยา!M250"")"),38200)</f>
        <v>38200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IFERROR(__xludf.DUMMYFUNCTION("IMPORTRANGE(""https://docs.google.com/spreadsheets/d/11923uPwbBZFjjGgGUA6NLw09EwE0CqkOc4q9oUmW1yo/edit?usp=sharing"",""พะเยา!M251"")"),0)</f>
        <v>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IFERROR(__xludf.DUMMYFUNCTION("IMPORTRANGE(""https://docs.google.com/spreadsheets/d/11923uPwbBZFjjGgGUA6NLw09EwE0CqkOc4q9oUmW1yo/edit?usp=sharing"",""พะเยา!M252"")"),48233.74)</f>
        <v>48233.74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IFERROR(__xludf.DUMMYFUNCTION("IMPORTRANGE(""https://docs.google.com/spreadsheets/d/11923uPwbBZFjjGgGUA6NLw09EwE0CqkOc4q9oUmW1yo/edit?usp=sharing"",""พะเยา!M253"")"),21309)</f>
        <v>21309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IFERROR(__xludf.DUMMYFUNCTION("IMPORTRANGE(""https://docs.google.com/spreadsheets/d/11923uPwbBZFjjGgGUA6NLw09EwE0CqkOc4q9oUmW1yo/edit?usp=sharing"",""พะเยา!J255"")"),0)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IFERROR(__xludf.DUMMYFUNCTION("IMPORTRANGE(""https://docs.google.com/spreadsheets/d/11923uPwbBZFjjGgGUA6NLw09EwE0CqkOc4q9oUmW1yo/edit?usp=sharing"",""พะเยา!J256"")"),1)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IFERROR(__xludf.DUMMYFUNCTION("IMPORTRANGE(""https://docs.google.com/spreadsheets/d/11923uPwbBZFjjGgGUA6NLw09EwE0CqkOc4q9oUmW1yo/edit?usp=sharing"",""พะเยา!J257"")"),1)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IFERROR(__xludf.DUMMYFUNCTION("IMPORTRANGE(""https://docs.google.com/spreadsheets/d/11923uPwbBZFjjGgGUA6NLw09EwE0CqkOc4q9oUmW1yo/edit?usp=sharing"",""พะเยา!J258"")"),1)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IFERROR(__xludf.DUMMYFUNCTION("IMPORTRANGE(""https://docs.google.com/spreadsheets/d/11923uPwbBZFjjGgGUA6NLw09EwE0CqkOc4q9oUmW1yo/edit?usp=sharing"",""พะเยา!J166"")"),0)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IFERROR(__xludf.DUMMYFUNCTION("IMPORTRANGE(""https://docs.google.com/spreadsheets/d/11923uPwbBZFjjGgGUA6NLw09EwE0CqkOc4q9oUmW1yo/edit?usp=sharing"",""พะเยา!J166"")"),0)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IFERROR(__xludf.DUMMYFUNCTION("IMPORTRANGE(""https://docs.google.com/spreadsheets/d/11923uPwbBZFjjGgGUA6NLw09EwE0CqkOc4q9oUmW1yo/edit?usp=sharing"",""พะเยา!J166"")"),0)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IFERROR(__xludf.DUMMYFUNCTION("IMPORTRANGE(""https://docs.google.com/spreadsheets/d/11923uPwbBZFjjGgGUA6NLw09EwE0CqkOc4q9oUmW1yo/edit?usp=sharing"",""พะเยา!J166"")"),0)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IFERROR(__xludf.DUMMYFUNCTION("IMPORTRANGE(""https://docs.google.com/spreadsheets/d/11923uPwbBZFjjGgGUA6NLw09EwE0CqkOc4q9oUmW1yo/edit?usp=sharing"",""พะเยา!I263"")"),60)</f>
        <v>60</v>
      </c>
      <c r="J368" s="187">
        <f ca="1">IFERROR(__xludf.DUMMYFUNCTION("IMPORTRANGE(""https://docs.google.com/spreadsheets/d/11923uPwbBZFjjGgGUA6NLw09EwE0CqkOc4q9oUmW1yo/edit?usp=sharing"",""พะเยา!J263"")"),0)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IFERROR(__xludf.DUMMYFUNCTION("IMPORTRANGE(""https://docs.google.com/spreadsheets/d/11923uPwbBZFjjGgGUA6NLw09EwE0CqkOc4q9oUmW1yo/edit?usp=sharing"",""พะเยา!I164"")"),0)</f>
        <v>0</v>
      </c>
      <c r="J369" s="203">
        <f ca="1">IFERROR(__xludf.DUMMYFUNCTION("IMPORTRANGE(""https://docs.google.com/spreadsheets/d/11923uPwbBZFjjGgGUA6NLw09EwE0CqkOc4q9oUmW1yo/edit?usp=sharing"",""พะเยา!J164"")"),0)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IFERROR(__xludf.DUMMYFUNCTION("IMPORTRANGE(""https://docs.google.com/spreadsheets/d/11923uPwbBZFjjGgGUA6NLw09EwE0CqkOc4q9oUmW1yo/edit?usp=sharing"",""พะเยา!I265"")"),60)</f>
        <v>60</v>
      </c>
      <c r="J370" s="203">
        <f ca="1">IFERROR(__xludf.DUMMYFUNCTION("IMPORTRANGE(""https://docs.google.com/spreadsheets/d/11923uPwbBZFjjGgGUA6NLw09EwE0CqkOc4q9oUmW1yo/edit?usp=sharing"",""พะเยา!J265"")"),40)</f>
        <v>40</v>
      </c>
      <c r="K370" s="163">
        <f t="shared" ca="1" si="106"/>
        <v>66.666666666666671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IFERROR(__xludf.DUMMYFUNCTION("IMPORTRANGE(""https://docs.google.com/spreadsheets/d/11923uPwbBZFjjGgGUA6NLw09EwE0CqkOc4q9oUmW1yo/edit?usp=sharing"",""พะเยา!I164"")"),0)</f>
        <v>0</v>
      </c>
      <c r="J371" s="188">
        <f ca="1">IFERROR(__xludf.DUMMYFUNCTION("IMPORTRANGE(""https://docs.google.com/spreadsheets/d/11923uPwbBZFjjGgGUA6NLw09EwE0CqkOc4q9oUmW1yo/edit?usp=sharing"",""พะเยา!J164"")"),0)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IFERROR(__xludf.DUMMYFUNCTION("IMPORTRANGE(""https://docs.google.com/spreadsheets/d/11923uPwbBZFjjGgGUA6NLw09EwE0CqkOc4q9oUmW1yo/edit?usp=sharing"",""พะเยา!I267"")"),60)</f>
        <v>60</v>
      </c>
      <c r="J372" s="188">
        <f ca="1">IFERROR(__xludf.DUMMYFUNCTION("IMPORTRANGE(""https://docs.google.com/spreadsheets/d/11923uPwbBZFjjGgGUA6NLw09EwE0CqkOc4q9oUmW1yo/edit?usp=sharing"",""พะเยา!J267"")"),0)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IFERROR(__xludf.DUMMYFUNCTION("IMPORTRANGE(""https://docs.google.com/spreadsheets/d/11923uPwbBZFjjGgGUA6NLw09EwE0CqkOc4q9oUmW1yo/edit?usp=sharing"",""พะเยา!I164"")"),0)</f>
        <v>0</v>
      </c>
      <c r="J373" s="203">
        <f ca="1">IFERROR(__xludf.DUMMYFUNCTION("IMPORTRANGE(""https://docs.google.com/spreadsheets/d/11923uPwbBZFjjGgGUA6NLw09EwE0CqkOc4q9oUmW1yo/edit?usp=sharing"",""พะเยา!J164"")"),0)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IFERROR(__xludf.DUMMYFUNCTION("IMPORTRANGE(""https://docs.google.com/spreadsheets/d/11923uPwbBZFjjGgGUA6NLw09EwE0CqkOc4q9oUmW1yo/edit?usp=sharing"",""พะเยา!I164"")"),0)</f>
        <v>0</v>
      </c>
      <c r="J374" s="187">
        <f ca="1">IFERROR(__xludf.DUMMYFUNCTION("IMPORTRANGE(""https://docs.google.com/spreadsheets/d/11923uPwbBZFjjGgGUA6NLw09EwE0CqkOc4q9oUmW1yo/edit?usp=sharing"",""พะเยา!J164"")"),0)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IFERROR(__xludf.DUMMYFUNCTION("IMPORTRANGE(""https://docs.google.com/spreadsheets/d/11923uPwbBZFjjGgGUA6NLw09EwE0CqkOc4q9oUmW1yo/edit?usp=sharing"",""พะเยา!I270"")"),105)</f>
        <v>105</v>
      </c>
      <c r="J375" s="187">
        <f ca="1">IFERROR(__xludf.DUMMYFUNCTION("IMPORTRANGE(""https://docs.google.com/spreadsheets/d/11923uPwbBZFjjGgGUA6NLw09EwE0CqkOc4q9oUmW1yo/edit?usp=sharing"",""พะเยา!J270"")"),0)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IFERROR(__xludf.DUMMYFUNCTION("IMPORTRANGE(""https://docs.google.com/spreadsheets/d/11923uPwbBZFjjGgGUA6NLw09EwE0CqkOc4q9oUmW1yo/edit?usp=sharing"",""พะเยา!I271"")"),30)</f>
        <v>30</v>
      </c>
      <c r="J376" s="188">
        <f ca="1">IFERROR(__xludf.DUMMYFUNCTION("IMPORTRANGE(""https://docs.google.com/spreadsheets/d/11923uPwbBZFjjGgGUA6NLw09EwE0CqkOc4q9oUmW1yo/edit?usp=sharing"",""พะเยา!J271"")"),0)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IFERROR(__xludf.DUMMYFUNCTION("IMPORTRANGE(""https://docs.google.com/spreadsheets/d/11923uPwbBZFjjGgGUA6NLw09EwE0CqkOc4q9oUmW1yo/edit?usp=sharing"",""พะเยา!I272"")"),75)</f>
        <v>75</v>
      </c>
      <c r="J377" s="203">
        <f ca="1">IFERROR(__xludf.DUMMYFUNCTION("IMPORTRANGE(""https://docs.google.com/spreadsheets/d/11923uPwbBZFjjGgGUA6NLw09EwE0CqkOc4q9oUmW1yo/edit?usp=sharing"",""พะเยา!J272"")"),0)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IFERROR(__xludf.DUMMYFUNCTION("IMPORTRANGE(""https://docs.google.com/spreadsheets/d/11923uPwbBZFjjGgGUA6NLw09EwE0CqkOc4q9oUmW1yo/edit?usp=sharing"",""พะเยา!J273"")"),0)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IFERROR(__xludf.DUMMYFUNCTION("IMPORTRANGE(""https://docs.google.com/spreadsheets/d/11923uPwbBZFjjGgGUA6NLw09EwE0CqkOc4q9oUmW1yo/edit?usp=sharing"",""พะเยา!J274"")"),0)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IFERROR(__xludf.DUMMYFUNCTION("IMPORTRANGE(""https://docs.google.com/spreadsheets/d/11923uPwbBZFjjGgGUA6NLw09EwE0CqkOc4q9oUmW1yo/edit?usp=sharing"",""พะเยา!I275"")"),1000)</f>
        <v>1000</v>
      </c>
      <c r="J380" s="369">
        <f ca="1">IFERROR(__xludf.DUMMYFUNCTION("IMPORTRANGE(""https://docs.google.com/spreadsheets/d/11923uPwbBZFjjGgGUA6NLw09EwE0CqkOc4q9oUmW1yo/edit?usp=sharing"",""พะเยา!J275"")"),0)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IFERROR(__xludf.DUMMYFUNCTION("IMPORTRANGE(""https://docs.google.com/spreadsheets/d/11923uPwbBZFjjGgGUA6NLw09EwE0CqkOc4q9oUmW1yo/edit?usp=sharing"",""พะเยา!L275"")"),1028520)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IFERROR(__xludf.DUMMYFUNCTION("IMPORTRANGE(""https://docs.google.com/spreadsheets/d/11923uPwbBZFjjGgGUA6NLw09EwE0CqkOc4q9oUmW1yo/edit?usp=sharing"",""พะเยา!M275"")"),129115)</f>
        <v>129115</v>
      </c>
      <c r="O380" s="371">
        <f ca="1">+IF(L380&gt;0,N380*100/L380,0)</f>
        <v>12.553474895967021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IFERROR(__xludf.DUMMYFUNCTION("IMPORTRANGE(""https://docs.google.com/spreadsheets/d/11923uPwbBZFjjGgGUA6NLw09EwE0CqkOc4q9oUmW1yo/edit?usp=sharing"",""พะเยา!I276"")"),100)</f>
        <v>100</v>
      </c>
      <c r="J381" s="369">
        <f ca="1">IFERROR(__xludf.DUMMYFUNCTION("IMPORTRANGE(""https://docs.google.com/spreadsheets/d/11923uPwbBZFjjGgGUA6NLw09EwE0CqkOc4q9oUmW1yo/edit?usp=sharing"",""พะเยา!J276"")"),50)</f>
        <v>50</v>
      </c>
      <c r="K381" s="370">
        <f t="shared" ca="1" si="108"/>
        <v>50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IFERROR(__xludf.DUMMYFUNCTION("IMPORTRANGE(""https://docs.google.com/spreadsheets/d/11923uPwbBZFjjGgGUA6NLw09EwE0CqkOc4q9oUmW1yo/edit?usp=sharing"",""พะเยา!L277"")"),0)</f>
        <v>0</v>
      </c>
      <c r="M382" s="164"/>
      <c r="N382" s="164">
        <f ca="1">IFERROR(__xludf.DUMMYFUNCTION("IMPORTRANGE(""https://docs.google.com/spreadsheets/d/11923uPwbBZFjjGgGUA6NLw09EwE0CqkOc4q9oUmW1yo/edit?usp=sharing"",""พะเยา!M277"")"),0)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IFERROR(__xludf.DUMMYFUNCTION("IMPORTRANGE(""https://docs.google.com/spreadsheets/d/11923uPwbBZFjjGgGUA6NLw09EwE0CqkOc4q9oUmW1yo/edit?usp=sharing"",""พะเยา!L278"")"),1028520)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IFERROR(__xludf.DUMMYFUNCTION("IMPORTRANGE(""https://docs.google.com/spreadsheets/d/11923uPwbBZFjjGgGUA6NLw09EwE0CqkOc4q9oUmW1yo/edit?usp=sharing"",""พะเยา!M278"")"),129115)</f>
        <v>129115</v>
      </c>
      <c r="O383" s="165">
        <f t="shared" ca="1" si="109"/>
        <v>12.553474895967021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IFERROR(__xludf.DUMMYFUNCTION("IMPORTRANGE(""https://docs.google.com/spreadsheets/d/11923uPwbBZFjjGgGUA6NLw09EwE0CqkOc4q9oUmW1yo/edit?usp=sharing"",""พะเยา!L279"")"),0)</f>
        <v>0</v>
      </c>
      <c r="M384" s="168"/>
      <c r="N384" s="168">
        <f ca="1">IFERROR(__xludf.DUMMYFUNCTION("IMPORTRANGE(""https://docs.google.com/spreadsheets/d/11923uPwbBZFjjGgGUA6NLw09EwE0CqkOc4q9oUmW1yo/edit?usp=sharing"",""พะเยา!M279"")"),0)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IFERROR(__xludf.DUMMYFUNCTION("IMPORTRANGE(""https://docs.google.com/spreadsheets/d/11923uPwbBZFjjGgGUA6NLw09EwE0CqkOc4q9oUmW1yo/edit?usp=sharing"",""พะเยา!L280"")"),1028520)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IFERROR(__xludf.DUMMYFUNCTION("IMPORTRANGE(""https://docs.google.com/spreadsheets/d/11923uPwbBZFjjGgGUA6NLw09EwE0CqkOc4q9oUmW1yo/edit?usp=sharing"",""พะเยา!M280"")"),129115)</f>
        <v>129115</v>
      </c>
      <c r="O385" s="168">
        <f t="shared" ca="1" si="109"/>
        <v>12.553474895967021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IFERROR(__xludf.DUMMYFUNCTION("IMPORTRANGE(""https://docs.google.com/spreadsheets/d/11923uPwbBZFjjGgGUA6NLw09EwE0CqkOc4q9oUmW1yo/edit?usp=sharing"",""พะเยา!M281"")"),79870)</f>
        <v>79870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IFERROR(__xludf.DUMMYFUNCTION("IMPORTRANGE(""https://docs.google.com/spreadsheets/d/11923uPwbBZFjjGgGUA6NLw09EwE0CqkOc4q9oUmW1yo/edit?usp=sharing"",""พะเยา!M282"")"),0)</f>
        <v>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IFERROR(__xludf.DUMMYFUNCTION("IMPORTRANGE(""https://docs.google.com/spreadsheets/d/11923uPwbBZFjjGgGUA6NLw09EwE0CqkOc4q9oUmW1yo/edit?usp=sharing"",""พะเยา!M283"")"),42165)</f>
        <v>42165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IFERROR(__xludf.DUMMYFUNCTION("IMPORTRANGE(""https://docs.google.com/spreadsheets/d/11923uPwbBZFjjGgGUA6NLw09EwE0CqkOc4q9oUmW1yo/edit?usp=sharing"",""พะเยา!M284"")"),7080)</f>
        <v>7080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IFERROR(__xludf.DUMMYFUNCTION("IMPORTRANGE(""https://docs.google.com/spreadsheets/d/11923uPwbBZFjjGgGUA6NLw09EwE0CqkOc4q9oUmW1yo/edit?usp=sharing"",""พะเยา!J286"")"),0)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IFERROR(__xludf.DUMMYFUNCTION("IMPORTRANGE(""https://docs.google.com/spreadsheets/d/11923uPwbBZFjjGgGUA6NLw09EwE0CqkOc4q9oUmW1yo/edit?usp=sharing"",""พะเยา!J287"")"),1)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IFERROR(__xludf.DUMMYFUNCTION("IMPORTRANGE(""https://docs.google.com/spreadsheets/d/11923uPwbBZFjjGgGUA6NLw09EwE0CqkOc4q9oUmW1yo/edit?usp=sharing"",""พะเยา!J288"")"),1)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IFERROR(__xludf.DUMMYFUNCTION("IMPORTRANGE(""https://docs.google.com/spreadsheets/d/11923uPwbBZFjjGgGUA6NLw09EwE0CqkOc4q9oUmW1yo/edit?usp=sharing"",""พะเยา!J289"")"),1)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IFERROR(__xludf.DUMMYFUNCTION("IMPORTRANGE(""https://docs.google.com/spreadsheets/d/11923uPwbBZFjjGgGUA6NLw09EwE0CqkOc4q9oUmW1yo/edit?usp=sharing"",""พะเยา!I291"")"),100)</f>
        <v>100</v>
      </c>
      <c r="J396" s="197">
        <f ca="1">IFERROR(__xludf.DUMMYFUNCTION("IMPORTRANGE(""https://docs.google.com/spreadsheets/d/11923uPwbBZFjjGgGUA6NLw09EwE0CqkOc4q9oUmW1yo/edit?usp=sharing"",""พะเยา!J291"")"),50)</f>
        <v>50</v>
      </c>
      <c r="K396" s="163">
        <f t="shared" ref="K396:K398" ca="1" si="110">IF(I396&gt;0,J396*100/I396,0)</f>
        <v>50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IFERROR(__xludf.DUMMYFUNCTION("IMPORTRANGE(""https://docs.google.com/spreadsheets/d/11923uPwbBZFjjGgGUA6NLw09EwE0CqkOc4q9oUmW1yo/edit?usp=sharing"",""พะเยา!I292"")"),1000)</f>
        <v>1000</v>
      </c>
      <c r="J397" s="197">
        <f ca="1">IFERROR(__xludf.DUMMYFUNCTION("IMPORTRANGE(""https://docs.google.com/spreadsheets/d/11923uPwbBZFjjGgGUA6NLw09EwE0CqkOc4q9oUmW1yo/edit?usp=sharing"",""พะเยา!J292"")"),0)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IFERROR(__xludf.DUMMYFUNCTION("IMPORTRANGE(""https://docs.google.com/spreadsheets/d/11923uPwbBZFjjGgGUA6NLw09EwE0CqkOc4q9oUmW1yo/edit?usp=sharing"",""พะเยา!I293"")"),100)</f>
        <v>100</v>
      </c>
      <c r="J398" s="197">
        <f ca="1">IFERROR(__xludf.DUMMYFUNCTION("IMPORTRANGE(""https://docs.google.com/spreadsheets/d/11923uPwbBZFjjGgGUA6NLw09EwE0CqkOc4q9oUmW1yo/edit?usp=sharing"",""พะเยา!J293"")"),0)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IFERROR(__xludf.DUMMYFUNCTION("IMPORTRANGE(""https://docs.google.com/spreadsheets/d/11923uPwbBZFjjGgGUA6NLw09EwE0CqkOc4q9oUmW1yo/edit?usp=sharing"",""พะเยา!J294"")"),0)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IFERROR(__xludf.DUMMYFUNCTION("IMPORTRANGE(""https://docs.google.com/spreadsheets/d/11923uPwbBZFjjGgGUA6NLw09EwE0CqkOc4q9oUmW1yo/edit?usp=sharing"",""พะเยา!J295"")"),0)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IFERROR(__xludf.DUMMYFUNCTION("IMPORTRANGE(""https://docs.google.com/spreadsheets/d/11923uPwbBZFjjGgGUA6NLw09EwE0CqkOc4q9oUmW1yo/edit?usp=sharing"",""พะเยา!I296"")"),261)</f>
        <v>261</v>
      </c>
      <c r="J401" s="369">
        <f ca="1">IFERROR(__xludf.DUMMYFUNCTION("IMPORTRANGE(""https://docs.google.com/spreadsheets/d/11923uPwbBZFjjGgGUA6NLw09EwE0CqkOc4q9oUmW1yo/edit?usp=sharing"",""พะเยา!J296"")"),210)</f>
        <v>210</v>
      </c>
      <c r="K401" s="370">
        <f t="shared" ref="K401:K402" ca="1" si="111">IF(I401&gt;0,J401*100/I401,0)</f>
        <v>80.459770114942529</v>
      </c>
      <c r="L401" s="371">
        <f ca="1">IFERROR(__xludf.DUMMYFUNCTION("IMPORTRANGE(""https://docs.google.com/spreadsheets/d/11923uPwbBZFjjGgGUA6NLw09EwE0CqkOc4q9oUmW1yo/edit?usp=sharing"",""พะเยา!L296"")"),271920)</f>
        <v>271920</v>
      </c>
      <c r="M401" s="371"/>
      <c r="N401" s="371">
        <f ca="1">IFERROR(__xludf.DUMMYFUNCTION("IMPORTRANGE(""https://docs.google.com/spreadsheets/d/11923uPwbBZFjjGgGUA6NLw09EwE0CqkOc4q9oUmW1yo/edit?usp=sharing"",""พะเยา!M296"")"),68670)</f>
        <v>68670</v>
      </c>
      <c r="O401" s="371">
        <f ca="1">+IF(L401&gt;0,N401*100/L401,0)</f>
        <v>25.253751103265667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IFERROR(__xludf.DUMMYFUNCTION("IMPORTRANGE(""https://docs.google.com/spreadsheets/d/11923uPwbBZFjjGgGUA6NLw09EwE0CqkOc4q9oUmW1yo/edit?usp=sharing"",""พะเยา!I297"")"),87)</f>
        <v>87</v>
      </c>
      <c r="J402" s="369">
        <f ca="1">IFERROR(__xludf.DUMMYFUNCTION("IMPORTRANGE(""https://docs.google.com/spreadsheets/d/11923uPwbBZFjjGgGUA6NLw09EwE0CqkOc4q9oUmW1yo/edit?usp=sharing"",""พะเยา!J297"")"),20)</f>
        <v>20</v>
      </c>
      <c r="K402" s="370">
        <f t="shared" ca="1" si="111"/>
        <v>22.988505747126435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IFERROR(__xludf.DUMMYFUNCTION("IMPORTRANGE(""https://docs.google.com/spreadsheets/d/11923uPwbBZFjjGgGUA6NLw09EwE0CqkOc4q9oUmW1yo/edit?usp=sharing"",""พะเยา!L298"")"),0)</f>
        <v>0</v>
      </c>
      <c r="M403" s="164"/>
      <c r="N403" s="168">
        <f ca="1">IFERROR(__xludf.DUMMYFUNCTION("IMPORTRANGE(""https://docs.google.com/spreadsheets/d/11923uPwbBZFjjGgGUA6NLw09EwE0CqkOc4q9oUmW1yo/edit?usp=sharing"",""พะเยา!M298"")"),0)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IFERROR(__xludf.DUMMYFUNCTION("IMPORTRANGE(""https://docs.google.com/spreadsheets/d/11923uPwbBZFjjGgGUA6NLw09EwE0CqkOc4q9oUmW1yo/edit?usp=sharing"",""พะเยา!L299"")"),271920)</f>
        <v>271920</v>
      </c>
      <c r="M404" s="165"/>
      <c r="N404" s="168">
        <f ca="1">IFERROR(__xludf.DUMMYFUNCTION("IMPORTRANGE(""https://docs.google.com/spreadsheets/d/11923uPwbBZFjjGgGUA6NLw09EwE0CqkOc4q9oUmW1yo/edit?usp=sharing"",""พะเยา!M299"")"),68670)</f>
        <v>68670</v>
      </c>
      <c r="O404" s="168">
        <f t="shared" ca="1" si="112"/>
        <v>25.253751103265667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IFERROR(__xludf.DUMMYFUNCTION("IMPORTRANGE(""https://docs.google.com/spreadsheets/d/11923uPwbBZFjjGgGUA6NLw09EwE0CqkOc4q9oUmW1yo/edit?usp=sharing"",""พะเยา!L300"")"),0)</f>
        <v>0</v>
      </c>
      <c r="M405" s="168"/>
      <c r="N405" s="168">
        <f ca="1">IFERROR(__xludf.DUMMYFUNCTION("IMPORTRANGE(""https://docs.google.com/spreadsheets/d/11923uPwbBZFjjGgGUA6NLw09EwE0CqkOc4q9oUmW1yo/edit?usp=sharing"",""พะเยา!M300"")"),0)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IFERROR(__xludf.DUMMYFUNCTION("IMPORTRANGE(""https://docs.google.com/spreadsheets/d/11923uPwbBZFjjGgGUA6NLw09EwE0CqkOc4q9oUmW1yo/edit?usp=sharing"",""พะเยา!L301"")"),271920)</f>
        <v>271920</v>
      </c>
      <c r="M406" s="168"/>
      <c r="N406" s="168">
        <f ca="1">IFERROR(__xludf.DUMMYFUNCTION("IMPORTRANGE(""https://docs.google.com/spreadsheets/d/11923uPwbBZFjjGgGUA6NLw09EwE0CqkOc4q9oUmW1yo/edit?usp=sharing"",""พะเยา!M301"")"),68670)</f>
        <v>68670</v>
      </c>
      <c r="O406" s="168">
        <f t="shared" ca="1" si="112"/>
        <v>25.253751103265667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IFERROR(__xludf.DUMMYFUNCTION("IMPORTRANGE(""https://docs.google.com/spreadsheets/d/11923uPwbBZFjjGgGUA6NLw09EwE0CqkOc4q9oUmW1yo/edit?usp=sharing"",""พะเยา!M302"")"),55710)</f>
        <v>55710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IFERROR(__xludf.DUMMYFUNCTION("IMPORTRANGE(""https://docs.google.com/spreadsheets/d/11923uPwbBZFjjGgGUA6NLw09EwE0CqkOc4q9oUmW1yo/edit?usp=sharing"",""พะเยา!M303"")"),0)</f>
        <v>0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IFERROR(__xludf.DUMMYFUNCTION("IMPORTRANGE(""https://docs.google.com/spreadsheets/d/11923uPwbBZFjjGgGUA6NLw09EwE0CqkOc4q9oUmW1yo/edit?usp=sharing"",""พะเยา!M304"")"),0)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IFERROR(__xludf.DUMMYFUNCTION("IMPORTRANGE(""https://docs.google.com/spreadsheets/d/11923uPwbBZFjjGgGUA6NLw09EwE0CqkOc4q9oUmW1yo/edit?usp=sharing"",""พะเยา!M305"")"),12960)</f>
        <v>12960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IFERROR(__xludf.DUMMYFUNCTION("IMPORTRANGE(""https://docs.google.com/spreadsheets/d/11923uPwbBZFjjGgGUA6NLw09EwE0CqkOc4q9oUmW1yo/edit?usp=sharing"",""พะเยา!J307"")"),0)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IFERROR(__xludf.DUMMYFUNCTION("IMPORTRANGE(""https://docs.google.com/spreadsheets/d/11923uPwbBZFjjGgGUA6NLw09EwE0CqkOc4q9oUmW1yo/edit?usp=sharing"",""พะเยา!J308"")"),1)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IFERROR(__xludf.DUMMYFUNCTION("IMPORTRANGE(""https://docs.google.com/spreadsheets/d/11923uPwbBZFjjGgGUA6NLw09EwE0CqkOc4q9oUmW1yo/edit?usp=sharing"",""พะเยา!J309"")"),1)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IFERROR(__xludf.DUMMYFUNCTION("IMPORTRANGE(""https://docs.google.com/spreadsheets/d/11923uPwbBZFjjGgGUA6NLw09EwE0CqkOc4q9oUmW1yo/edit?usp=sharing"",""พะเยา!J310"")"),1)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IFERROR(__xludf.DUMMYFUNCTION("IMPORTRANGE(""https://docs.google.com/spreadsheets/d/11923uPwbBZFjjGgGUA6NLw09EwE0CqkOc4q9oUmW1yo/edit?usp=sharing"",""พะเยา!I311"")"),87)</f>
        <v>87</v>
      </c>
      <c r="J416" s="200">
        <f ca="1">IFERROR(__xludf.DUMMYFUNCTION("IMPORTRANGE(""https://docs.google.com/spreadsheets/d/11923uPwbBZFjjGgGUA6NLw09EwE0CqkOc4q9oUmW1yo/edit?usp=sharing"",""พะเยา!J311"")"),20)</f>
        <v>20</v>
      </c>
      <c r="K416" s="201">
        <f t="shared" ref="K416:K432" ca="1" si="113">IF(I416&gt;0,J416*100/I416,0)</f>
        <v>22.988505747126435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IFERROR(__xludf.DUMMYFUNCTION("IMPORTRANGE(""https://docs.google.com/spreadsheets/d/11923uPwbBZFjjGgGUA6NLw09EwE0CqkOc4q9oUmW1yo/edit?usp=sharing"",""พะเยา!I312"")"),20)</f>
        <v>20</v>
      </c>
      <c r="J417" s="390">
        <f ca="1">IFERROR(__xludf.DUMMYFUNCTION("IMPORTRANGE(""https://docs.google.com/spreadsheets/d/11923uPwbBZFjjGgGUA6NLw09EwE0CqkOc4q9oUmW1yo/edit?usp=sharing"",""พะเยา!J312"")"),20)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IFERROR(__xludf.DUMMYFUNCTION("IMPORTRANGE(""https://docs.google.com/spreadsheets/d/11923uPwbBZFjjGgGUA6NLw09EwE0CqkOc4q9oUmW1yo/edit?usp=sharing"",""พะเยา!I313"")"),60)</f>
        <v>60</v>
      </c>
      <c r="J418" s="391">
        <f ca="1">IFERROR(__xludf.DUMMYFUNCTION("IMPORTRANGE(""https://docs.google.com/spreadsheets/d/11923uPwbBZFjjGgGUA6NLw09EwE0CqkOc4q9oUmW1yo/edit?usp=sharing"",""พะเยา!J313"")"),60)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IFERROR(__xludf.DUMMYFUNCTION("IMPORTRANGE(""https://docs.google.com/spreadsheets/d/11923uPwbBZFjjGgGUA6NLw09EwE0CqkOc4q9oUmW1yo/edit?usp=sharing"",""พะเยา!I314"")"),20)</f>
        <v>20</v>
      </c>
      <c r="J419" s="392">
        <f ca="1">IFERROR(__xludf.DUMMYFUNCTION("IMPORTRANGE(""https://docs.google.com/spreadsheets/d/11923uPwbBZFjjGgGUA6NLw09EwE0CqkOc4q9oUmW1yo/edit?usp=sharing"",""พะเยา!J314"")"),20)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IFERROR(__xludf.DUMMYFUNCTION("IMPORTRANGE(""https://docs.google.com/spreadsheets/d/11923uPwbBZFjjGgGUA6NLw09EwE0CqkOc4q9oUmW1yo/edit?usp=sharing"",""พะเยา!I315"")"),20)</f>
        <v>20</v>
      </c>
      <c r="J420" s="392">
        <f ca="1">IFERROR(__xludf.DUMMYFUNCTION("IMPORTRANGE(""https://docs.google.com/spreadsheets/d/11923uPwbBZFjjGgGUA6NLw09EwE0CqkOc4q9oUmW1yo/edit?usp=sharing"",""พะเยา!J315"")"),20)</f>
        <v>20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IFERROR(__xludf.DUMMYFUNCTION("IMPORTRANGE(""https://docs.google.com/spreadsheets/d/11923uPwbBZFjjGgGUA6NLw09EwE0CqkOc4q9oUmW1yo/edit?usp=sharing"",""พะเยา!I316"")"),50)</f>
        <v>50</v>
      </c>
      <c r="J421" s="390">
        <f ca="1">IFERROR(__xludf.DUMMYFUNCTION("IMPORTRANGE(""https://docs.google.com/spreadsheets/d/11923uPwbBZFjjGgGUA6NLw09EwE0CqkOc4q9oUmW1yo/edit?usp=sharing"",""พะเยา!J316"")"),0)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IFERROR(__xludf.DUMMYFUNCTION("IMPORTRANGE(""https://docs.google.com/spreadsheets/d/11923uPwbBZFjjGgGUA6NLw09EwE0CqkOc4q9oUmW1yo/edit?usp=sharing"",""พะเยา!I317"")"),150)</f>
        <v>150</v>
      </c>
      <c r="J422" s="391">
        <f ca="1">IFERROR(__xludf.DUMMYFUNCTION("IMPORTRANGE(""https://docs.google.com/spreadsheets/d/11923uPwbBZFjjGgGUA6NLw09EwE0CqkOc4q9oUmW1yo/edit?usp=sharing"",""พะเยา!J317"")"),150)</f>
        <v>150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IFERROR(__xludf.DUMMYFUNCTION("IMPORTRANGE(""https://docs.google.com/spreadsheets/d/11923uPwbBZFjjGgGUA6NLw09EwE0CqkOc4q9oUmW1yo/edit?usp=sharing"",""พะเยา!I318"")"),50)</f>
        <v>50</v>
      </c>
      <c r="J423" s="392">
        <f ca="1">IFERROR(__xludf.DUMMYFUNCTION("IMPORTRANGE(""https://docs.google.com/spreadsheets/d/11923uPwbBZFjjGgGUA6NLw09EwE0CqkOc4q9oUmW1yo/edit?usp=sharing"",""พะเยา!J318"")"),50)</f>
        <v>50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IFERROR(__xludf.DUMMYFUNCTION("IMPORTRANGE(""https://docs.google.com/spreadsheets/d/11923uPwbBZFjjGgGUA6NLw09EwE0CqkOc4q9oUmW1yo/edit?usp=sharing"",""พะเยา!I319"")"),50)</f>
        <v>50</v>
      </c>
      <c r="J424" s="392">
        <f ca="1">IFERROR(__xludf.DUMMYFUNCTION("IMPORTRANGE(""https://docs.google.com/spreadsheets/d/11923uPwbBZFjjGgGUA6NLw09EwE0CqkOc4q9oUmW1yo/edit?usp=sharing"",""พะเยา!J319"")"),0)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IFERROR(__xludf.DUMMYFUNCTION("IMPORTRANGE(""https://docs.google.com/spreadsheets/d/11923uPwbBZFjjGgGUA6NLw09EwE0CqkOc4q9oUmW1yo/edit?usp=sharing"",""พะเยา!I320"")"),50)</f>
        <v>50</v>
      </c>
      <c r="J425" s="392">
        <f ca="1">IFERROR(__xludf.DUMMYFUNCTION("IMPORTRANGE(""https://docs.google.com/spreadsheets/d/11923uPwbBZFjjGgGUA6NLw09EwE0CqkOc4q9oUmW1yo/edit?usp=sharing"",""พะเยา!J320"")"),0)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IFERROR(__xludf.DUMMYFUNCTION("IMPORTRANGE(""https://docs.google.com/spreadsheets/d/11923uPwbBZFjjGgGUA6NLw09EwE0CqkOc4q9oUmW1yo/edit?usp=sharing"",""พะเยา!I321"")"),17)</f>
        <v>17</v>
      </c>
      <c r="J426" s="390">
        <f ca="1">IFERROR(__xludf.DUMMYFUNCTION("IMPORTRANGE(""https://docs.google.com/spreadsheets/d/11923uPwbBZFjjGgGUA6NLw09EwE0CqkOc4q9oUmW1yo/edit?usp=sharing"",""พะเยา!J321"")"),0)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IFERROR(__xludf.DUMMYFUNCTION("IMPORTRANGE(""https://docs.google.com/spreadsheets/d/11923uPwbBZFjjGgGUA6NLw09EwE0CqkOc4q9oUmW1yo/edit?usp=sharing"",""พะเยา!I322"")"),51)</f>
        <v>51</v>
      </c>
      <c r="J427" s="391">
        <f ca="1">IFERROR(__xludf.DUMMYFUNCTION("IMPORTRANGE(""https://docs.google.com/spreadsheets/d/11923uPwbBZFjjGgGUA6NLw09EwE0CqkOc4q9oUmW1yo/edit?usp=sharing"",""พะเยา!J322"")"),0)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IFERROR(__xludf.DUMMYFUNCTION("IMPORTRANGE(""https://docs.google.com/spreadsheets/d/11923uPwbBZFjjGgGUA6NLw09EwE0CqkOc4q9oUmW1yo/edit?usp=sharing"",""พะเยา!I323"")"),17)</f>
        <v>17</v>
      </c>
      <c r="J428" s="392">
        <f ca="1">IFERROR(__xludf.DUMMYFUNCTION("IMPORTRANGE(""https://docs.google.com/spreadsheets/d/11923uPwbBZFjjGgGUA6NLw09EwE0CqkOc4q9oUmW1yo/edit?usp=sharing"",""พะเยา!J323"")"),0)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IFERROR(__xludf.DUMMYFUNCTION("IMPORTRANGE(""https://docs.google.com/spreadsheets/d/11923uPwbBZFjjGgGUA6NLw09EwE0CqkOc4q9oUmW1yo/edit?usp=sharing"",""พะเยา!I324"")"),17)</f>
        <v>17</v>
      </c>
      <c r="J429" s="392">
        <f ca="1">IFERROR(__xludf.DUMMYFUNCTION("IMPORTRANGE(""https://docs.google.com/spreadsheets/d/11923uPwbBZFjjGgGUA6NLw09EwE0CqkOc4q9oUmW1yo/edit?usp=sharing"",""พะเยา!J324"")"),0)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IFERROR(__xludf.DUMMYFUNCTION("IMPORTRANGE(""https://docs.google.com/spreadsheets/d/11923uPwbBZFjjGgGUA6NLw09EwE0CqkOc4q9oUmW1yo/edit?usp=sharing"",""พะเยา!I325"")"),70)</f>
        <v>70</v>
      </c>
      <c r="J430" s="390">
        <f ca="1">IFERROR(__xludf.DUMMYFUNCTION("IMPORTRANGE(""https://docs.google.com/spreadsheets/d/11923uPwbBZFjjGgGUA6NLw09EwE0CqkOc4q9oUmW1yo/edit?usp=sharing"",""พะเยา!J325"")"),0)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IFERROR(__xludf.DUMMYFUNCTION("IMPORTRANGE(""https://docs.google.com/spreadsheets/d/11923uPwbBZFjjGgGUA6NLw09EwE0CqkOc4q9oUmW1yo/edit?usp=sharing"",""พะเยา!I326"")"),20)</f>
        <v>20</v>
      </c>
      <c r="J431" s="392">
        <f ca="1">IFERROR(__xludf.DUMMYFUNCTION("IMPORTRANGE(""https://docs.google.com/spreadsheets/d/11923uPwbBZFjjGgGUA6NLw09EwE0CqkOc4q9oUmW1yo/edit?usp=sharing"",""พะเยา!J326"")"),0)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IFERROR(__xludf.DUMMYFUNCTION("IMPORTRANGE(""https://docs.google.com/spreadsheets/d/11923uPwbBZFjjGgGUA6NLw09EwE0CqkOc4q9oUmW1yo/edit?usp=sharing"",""พะเยา!I327"")"),50)</f>
        <v>50</v>
      </c>
      <c r="J432" s="392">
        <f ca="1">IFERROR(__xludf.DUMMYFUNCTION("IMPORTRANGE(""https://docs.google.com/spreadsheets/d/11923uPwbBZFjjGgGUA6NLw09EwE0CqkOc4q9oUmW1yo/edit?usp=sharing"",""พะเยา!J327"")"),0)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IFERROR(__xludf.DUMMYFUNCTION("IMPORTRANGE(""https://docs.google.com/spreadsheets/d/11923uPwbBZFjjGgGUA6NLw09EwE0CqkOc4q9oUmW1yo/edit?usp=sharing"",""พะเยา!J328"")"),0)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IFERROR(__xludf.DUMMYFUNCTION("IMPORTRANGE(""https://docs.google.com/spreadsheets/d/11923uPwbBZFjjGgGUA6NLw09EwE0CqkOc4q9oUmW1yo/edit?usp=sharing"",""พะเยา!J329"")"),0)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IFERROR(__xludf.DUMMYFUNCTION("IMPORTRANGE(""https://docs.google.com/spreadsheets/d/11923uPwbBZFjjGgGUA6NLw09EwE0CqkOc4q9oUmW1yo/edit?usp=sharing"",""พะเยา!I330"")"),43)</f>
        <v>43</v>
      </c>
      <c r="J435" s="408">
        <f ca="1">IFERROR(__xludf.DUMMYFUNCTION("IMPORTRANGE(""https://docs.google.com/spreadsheets/d/11923uPwbBZFjjGgGUA6NLw09EwE0CqkOc4q9oUmW1yo/edit?usp=sharing"",""พะเยา!J330"")"),43)</f>
        <v>43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IFERROR(__xludf.DUMMYFUNCTION("IMPORTRANGE(""https://docs.google.com/spreadsheets/d/11923uPwbBZFjjGgGUA6NLw09EwE0CqkOc4q9oUmW1yo/edit?usp=sharing"",""พะเยา!L330"")"),150000)</f>
        <v>150000</v>
      </c>
      <c r="M435" s="410"/>
      <c r="N435" s="410">
        <f ca="1">IFERROR(__xludf.DUMMYFUNCTION("IMPORTRANGE(""https://docs.google.com/spreadsheets/d/11923uPwbBZFjjGgGUA6NLw09EwE0CqkOc4q9oUmW1yo/edit?usp=sharing"",""พะเยา!M330"")"),76896)</f>
        <v>76896</v>
      </c>
      <c r="O435" s="410">
        <f t="shared" ref="O435:O439" ca="1" si="114">+IF(L435&gt;0,N435*100/L435,0)</f>
        <v>51.264000000000003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IFERROR(__xludf.DUMMYFUNCTION("IMPORTRANGE(""https://docs.google.com/spreadsheets/d/11923uPwbBZFjjGgGUA6NLw09EwE0CqkOc4q9oUmW1yo/edit?usp=sharing"",""พะเยา!L331"")"),0)</f>
        <v>0</v>
      </c>
      <c r="M436" s="164"/>
      <c r="N436" s="168">
        <f ca="1">IFERROR(__xludf.DUMMYFUNCTION("IMPORTRANGE(""https://docs.google.com/spreadsheets/d/11923uPwbBZFjjGgGUA6NLw09EwE0CqkOc4q9oUmW1yo/edit?usp=sharing"",""พะเยา!M331"")"),0)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IFERROR(__xludf.DUMMYFUNCTION("IMPORTRANGE(""https://docs.google.com/spreadsheets/d/11923uPwbBZFjjGgGUA6NLw09EwE0CqkOc4q9oUmW1yo/edit?usp=sharing"",""พะเยา!L332"")"),150000)</f>
        <v>150000</v>
      </c>
      <c r="M437" s="165"/>
      <c r="N437" s="168">
        <f ca="1">IFERROR(__xludf.DUMMYFUNCTION("IMPORTRANGE(""https://docs.google.com/spreadsheets/d/11923uPwbBZFjjGgGUA6NLw09EwE0CqkOc4q9oUmW1yo/edit?usp=sharing"",""พะเยา!M332"")"),76896)</f>
        <v>76896</v>
      </c>
      <c r="O437" s="168">
        <f t="shared" ca="1" si="114"/>
        <v>51.264000000000003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IFERROR(__xludf.DUMMYFUNCTION("IMPORTRANGE(""https://docs.google.com/spreadsheets/d/11923uPwbBZFjjGgGUA6NLw09EwE0CqkOc4q9oUmW1yo/edit?usp=sharing"",""พะเยา!L333"")"),0)</f>
        <v>0</v>
      </c>
      <c r="M438" s="168"/>
      <c r="N438" s="168">
        <f ca="1">IFERROR(__xludf.DUMMYFUNCTION("IMPORTRANGE(""https://docs.google.com/spreadsheets/d/11923uPwbBZFjjGgGUA6NLw09EwE0CqkOc4q9oUmW1yo/edit?usp=sharing"",""พะเยา!M333"")"),0)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IFERROR(__xludf.DUMMYFUNCTION("IMPORTRANGE(""https://docs.google.com/spreadsheets/d/11923uPwbBZFjjGgGUA6NLw09EwE0CqkOc4q9oUmW1yo/edit?usp=sharing"",""พะเยา!L334"")"),150000)</f>
        <v>150000</v>
      </c>
      <c r="M439" s="168"/>
      <c r="N439" s="168">
        <f ca="1">IFERROR(__xludf.DUMMYFUNCTION("IMPORTRANGE(""https://docs.google.com/spreadsheets/d/11923uPwbBZFjjGgGUA6NLw09EwE0CqkOc4q9oUmW1yo/edit?usp=sharing"",""พะเยา!M334"")"),76896)</f>
        <v>76896</v>
      </c>
      <c r="O439" s="168">
        <f t="shared" ca="1" si="114"/>
        <v>51.264000000000003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IFERROR(__xludf.DUMMYFUNCTION("IMPORTRANGE(""https://docs.google.com/spreadsheets/d/11923uPwbBZFjjGgGUA6NLw09EwE0CqkOc4q9oUmW1yo/edit?usp=sharing"",""พะเยา!M335"")"),62958)</f>
        <v>62958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IFERROR(__xludf.DUMMYFUNCTION("IMPORTRANGE(""https://docs.google.com/spreadsheets/d/11923uPwbBZFjjGgGUA6NLw09EwE0CqkOc4q9oUmW1yo/edit?usp=sharing"",""พะเยา!M336"")"),0)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IFERROR(__xludf.DUMMYFUNCTION("IMPORTRANGE(""https://docs.google.com/spreadsheets/d/11923uPwbBZFjjGgGUA6NLw09EwE0CqkOc4q9oUmW1yo/edit?usp=sharing"",""พะเยา!M337"")"),0)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IFERROR(__xludf.DUMMYFUNCTION("IMPORTRANGE(""https://docs.google.com/spreadsheets/d/11923uPwbBZFjjGgGUA6NLw09EwE0CqkOc4q9oUmW1yo/edit?usp=sharing"",""พะเยา!M338"")"),13938)</f>
        <v>13938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IFERROR(__xludf.DUMMYFUNCTION("IMPORTRANGE(""https://docs.google.com/spreadsheets/d/11923uPwbBZFjjGgGUA6NLw09EwE0CqkOc4q9oUmW1yo/edit?usp=sharing"",""พะเยา!J340"")"),0)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IFERROR(__xludf.DUMMYFUNCTION("IMPORTRANGE(""https://docs.google.com/spreadsheets/d/11923uPwbBZFjjGgGUA6NLw09EwE0CqkOc4q9oUmW1yo/edit?usp=sharing"",""พะเยา!J341"")"),1)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IFERROR(__xludf.DUMMYFUNCTION("IMPORTRANGE(""https://docs.google.com/spreadsheets/d/11923uPwbBZFjjGgGUA6NLw09EwE0CqkOc4q9oUmW1yo/edit?usp=sharing"",""พะเยา!J342"")"),1)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IFERROR(__xludf.DUMMYFUNCTION("IMPORTRANGE(""https://docs.google.com/spreadsheets/d/11923uPwbBZFjjGgGUA6NLw09EwE0CqkOc4q9oUmW1yo/edit?usp=sharing"",""พะเยา!J343"")"),1)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IFERROR(__xludf.DUMMYFUNCTION("IMPORTRANGE(""https://docs.google.com/spreadsheets/d/11923uPwbBZFjjGgGUA6NLw09EwE0CqkOc4q9oUmW1yo/edit?usp=sharing"",""พะเยา!I344"")"),43)</f>
        <v>43</v>
      </c>
      <c r="J449" s="200">
        <f ca="1">IFERROR(__xludf.DUMMYFUNCTION("IMPORTRANGE(""https://docs.google.com/spreadsheets/d/11923uPwbBZFjjGgGUA6NLw09EwE0CqkOc4q9oUmW1yo/edit?usp=sharing"",""พะเยา!J344"")"),43)</f>
        <v>43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IFERROR(__xludf.DUMMYFUNCTION("IMPORTRANGE(""https://docs.google.com/spreadsheets/d/11923uPwbBZFjjGgGUA6NLw09EwE0CqkOc4q9oUmW1yo/edit?usp=sharing"",""พะเยา!I345"")"),43)</f>
        <v>43</v>
      </c>
      <c r="J450" s="188">
        <f ca="1">IFERROR(__xludf.DUMMYFUNCTION("IMPORTRANGE(""https://docs.google.com/spreadsheets/d/11923uPwbBZFjjGgGUA6NLw09EwE0CqkOc4q9oUmW1yo/edit?usp=sharing"",""พะเยา!J345"")"),43)</f>
        <v>43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IFERROR(__xludf.DUMMYFUNCTION("IMPORTRANGE(""https://docs.google.com/spreadsheets/d/11923uPwbBZFjjGgGUA6NLw09EwE0CqkOc4q9oUmW1yo/edit?usp=sharing"",""พะเยา!I346"")"),0)</f>
        <v>0</v>
      </c>
      <c r="J451" s="187">
        <f ca="1">IFERROR(__xludf.DUMMYFUNCTION("IMPORTRANGE(""https://docs.google.com/spreadsheets/d/11923uPwbBZFjjGgGUA6NLw09EwE0CqkOc4q9oUmW1yo/edit?usp=sharing"",""พะเยา!J346"")"),0)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IFERROR(__xludf.DUMMYFUNCTION("IMPORTRANGE(""https://docs.google.com/spreadsheets/d/11923uPwbBZFjjGgGUA6NLw09EwE0CqkOc4q9oUmW1yo/edit?usp=sharing"",""พะเยา!I347"")"),0)</f>
        <v>0</v>
      </c>
      <c r="J452" s="187">
        <f ca="1">IFERROR(__xludf.DUMMYFUNCTION("IMPORTRANGE(""https://docs.google.com/spreadsheets/d/11923uPwbBZFjjGgGUA6NLw09EwE0CqkOc4q9oUmW1yo/edit?usp=sharing"",""พะเยา!J347"")"),0)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IFERROR(__xludf.DUMMYFUNCTION("IMPORTRANGE(""https://docs.google.com/spreadsheets/d/11923uPwbBZFjjGgGUA6NLw09EwE0CqkOc4q9oUmW1yo/edit?usp=sharing"",""พะเยา!J348"")"),0)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IFERROR(__xludf.DUMMYFUNCTION("IMPORTRANGE(""https://docs.google.com/spreadsheets/d/11923uPwbBZFjjGgGUA6NLw09EwE0CqkOc4q9oUmW1yo/edit?usp=sharing"",""พะเยา!J349"")"),0)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IFERROR(__xludf.DUMMYFUNCTION("IMPORTRANGE(""https://docs.google.com/spreadsheets/d/11923uPwbBZFjjGgGUA6NLw09EwE0CqkOc4q9oUmW1yo/edit?usp=sharing"",""พะเยา!I350"")"),31127)</f>
        <v>31127</v>
      </c>
      <c r="J455" s="369">
        <f ca="1">IFERROR(__xludf.DUMMYFUNCTION("IMPORTRANGE(""https://docs.google.com/spreadsheets/d/11923uPwbBZFjjGgGUA6NLw09EwE0CqkOc4q9oUmW1yo/edit?usp=sharing"",""พะเยา!J350"")"),0)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IFERROR(__xludf.DUMMYFUNCTION("IMPORTRANGE(""https://docs.google.com/spreadsheets/d/11923uPwbBZFjjGgGUA6NLw09EwE0CqkOc4q9oUmW1yo/edit?usp=sharing"",""พะเยา!L350"")"),396346)</f>
        <v>396346</v>
      </c>
      <c r="M455" s="371"/>
      <c r="N455" s="371">
        <f ca="1">IFERROR(__xludf.DUMMYFUNCTION("IMPORTRANGE(""https://docs.google.com/spreadsheets/d/11923uPwbBZFjjGgGUA6NLw09EwE0CqkOc4q9oUmW1yo/edit?usp=sharing"",""พะเยา!M350"")"),107049.35)</f>
        <v>107049.35</v>
      </c>
      <c r="O455" s="371">
        <f t="shared" ref="O455:O459" ca="1" si="116">+IF(L455&gt;0,N455*100/L455,0)</f>
        <v>27.009065311621665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IFERROR(__xludf.DUMMYFUNCTION("IMPORTRANGE(""https://docs.google.com/spreadsheets/d/11923uPwbBZFjjGgGUA6NLw09EwE0CqkOc4q9oUmW1yo/edit?usp=sharing"",""พะเยา!L351"")"),0)</f>
        <v>0</v>
      </c>
      <c r="M456" s="164"/>
      <c r="N456" s="168">
        <f ca="1">IFERROR(__xludf.DUMMYFUNCTION("IMPORTRANGE(""https://docs.google.com/spreadsheets/d/11923uPwbBZFjjGgGUA6NLw09EwE0CqkOc4q9oUmW1yo/edit?usp=sharing"",""พะเยา!M351"")"),0)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IFERROR(__xludf.DUMMYFUNCTION("IMPORTRANGE(""https://docs.google.com/spreadsheets/d/11923uPwbBZFjjGgGUA6NLw09EwE0CqkOc4q9oUmW1yo/edit?usp=sharing"",""พะเยา!L352"")"),396346)</f>
        <v>396346</v>
      </c>
      <c r="M457" s="165"/>
      <c r="N457" s="168">
        <f ca="1">IFERROR(__xludf.DUMMYFUNCTION("IMPORTRANGE(""https://docs.google.com/spreadsheets/d/11923uPwbBZFjjGgGUA6NLw09EwE0CqkOc4q9oUmW1yo/edit?usp=sharing"",""พะเยา!M352"")"),107049.35)</f>
        <v>107049.35</v>
      </c>
      <c r="O457" s="168">
        <f t="shared" ca="1" si="116"/>
        <v>27.009065311621665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IFERROR(__xludf.DUMMYFUNCTION("IMPORTRANGE(""https://docs.google.com/spreadsheets/d/11923uPwbBZFjjGgGUA6NLw09EwE0CqkOc4q9oUmW1yo/edit?usp=sharing"",""พะเยา!L353"")"),0)</f>
        <v>0</v>
      </c>
      <c r="M458" s="168"/>
      <c r="N458" s="168">
        <f ca="1">IFERROR(__xludf.DUMMYFUNCTION("IMPORTRANGE(""https://docs.google.com/spreadsheets/d/11923uPwbBZFjjGgGUA6NLw09EwE0CqkOc4q9oUmW1yo/edit?usp=sharing"",""พะเยา!M353"")"),0)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IFERROR(__xludf.DUMMYFUNCTION("IMPORTRANGE(""https://docs.google.com/spreadsheets/d/11923uPwbBZFjjGgGUA6NLw09EwE0CqkOc4q9oUmW1yo/edit?usp=sharing"",""พะเยา!L354"")"),396346)</f>
        <v>396346</v>
      </c>
      <c r="M459" s="168"/>
      <c r="N459" s="168">
        <f ca="1">IFERROR(__xludf.DUMMYFUNCTION("IMPORTRANGE(""https://docs.google.com/spreadsheets/d/11923uPwbBZFjjGgGUA6NLw09EwE0CqkOc4q9oUmW1yo/edit?usp=sharing"",""พะเยา!M354"")"),107049.35)</f>
        <v>107049.35</v>
      </c>
      <c r="O459" s="168">
        <f t="shared" ca="1" si="116"/>
        <v>27.009065311621665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IFERROR(__xludf.DUMMYFUNCTION("IMPORTRANGE(""https://docs.google.com/spreadsheets/d/11923uPwbBZFjjGgGUA6NLw09EwE0CqkOc4q9oUmW1yo/edit?usp=sharing"",""พะเยา!M355"")"),0)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IFERROR(__xludf.DUMMYFUNCTION("IMPORTRANGE(""https://docs.google.com/spreadsheets/d/11923uPwbBZFjjGgGUA6NLw09EwE0CqkOc4q9oUmW1yo/edit?usp=sharing"",""พะเยา!M356"")"),0)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IFERROR(__xludf.DUMMYFUNCTION("IMPORTRANGE(""https://docs.google.com/spreadsheets/d/11923uPwbBZFjjGgGUA6NLw09EwE0CqkOc4q9oUmW1yo/edit?usp=sharing"",""พะเยา!M357"")"),53019.35)</f>
        <v>53019.35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IFERROR(__xludf.DUMMYFUNCTION("IMPORTRANGE(""https://docs.google.com/spreadsheets/d/11923uPwbBZFjjGgGUA6NLw09EwE0CqkOc4q9oUmW1yo/edit?usp=sharing"",""พะเยา!M358"")"),54030)</f>
        <v>54030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IFERROR(__xludf.DUMMYFUNCTION("IMPORTRANGE(""https://docs.google.com/spreadsheets/d/11923uPwbBZFjjGgGUA6NLw09EwE0CqkOc4q9oUmW1yo/edit?usp=sharing"",""พะเยา!I359"")"),31127)</f>
        <v>31127</v>
      </c>
      <c r="J464" s="266">
        <f ca="1">IFERROR(__xludf.DUMMYFUNCTION("IMPORTRANGE(""https://docs.google.com/spreadsheets/d/11923uPwbBZFjjGgGUA6NLw09EwE0CqkOc4q9oUmW1yo/edit?usp=sharing"",""พะเยา!J359"")"),0)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IFERROR(__xludf.DUMMYFUNCTION("IMPORTRANGE(""https://docs.google.com/spreadsheets/d/11923uPwbBZFjjGgGUA6NLw09EwE0CqkOc4q9oUmW1yo/edit?usp=sharing"",""พะเยา!I360"")"),31127)</f>
        <v>31127</v>
      </c>
      <c r="J465" s="418">
        <f ca="1">IFERROR(__xludf.DUMMYFUNCTION("IMPORTRANGE(""https://docs.google.com/spreadsheets/d/11923uPwbBZFjjGgGUA6NLw09EwE0CqkOc4q9oUmW1yo/edit?usp=sharing"",""พะเยา!J360"")"),31127)</f>
        <v>31127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IFERROR(__xludf.DUMMYFUNCTION("IMPORTRANGE(""https://docs.google.com/spreadsheets/d/11923uPwbBZFjjGgGUA6NLw09EwE0CqkOc4q9oUmW1yo/edit?usp=sharing"",""พะเยา!I361"")"),5512)</f>
        <v>5512</v>
      </c>
      <c r="J466" s="418">
        <f ca="1">IFERROR(__xludf.DUMMYFUNCTION("IMPORTRANGE(""https://docs.google.com/spreadsheets/d/11923uPwbBZFjjGgGUA6NLw09EwE0CqkOc4q9oUmW1yo/edit?usp=sharing"",""พะเยา!J361"")"),5512)</f>
        <v>5512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IFERROR(__xludf.DUMMYFUNCTION("IMPORTRANGE(""https://docs.google.com/spreadsheets/d/11923uPwbBZFjjGgGUA6NLw09EwE0CqkOc4q9oUmW1yo/edit?usp=sharing"",""พะเยา!I362"")"),0)</f>
        <v>0</v>
      </c>
      <c r="J467" s="188">
        <f ca="1">IFERROR(__xludf.DUMMYFUNCTION("IMPORTRANGE(""https://docs.google.com/spreadsheets/d/11923uPwbBZFjjGgGUA6NLw09EwE0CqkOc4q9oUmW1yo/edit?usp=sharing"",""พะเยา!J362"")"),22933)</f>
        <v>22933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IFERROR(__xludf.DUMMYFUNCTION("IMPORTRANGE(""https://docs.google.com/spreadsheets/d/11923uPwbBZFjjGgGUA6NLw09EwE0CqkOc4q9oUmW1yo/edit?usp=sharing"",""พะเยา!I363"")"),0)</f>
        <v>0</v>
      </c>
      <c r="J468" s="188">
        <f ca="1">IFERROR(__xludf.DUMMYFUNCTION("IMPORTRANGE(""https://docs.google.com/spreadsheets/d/11923uPwbBZFjjGgGUA6NLw09EwE0CqkOc4q9oUmW1yo/edit?usp=sharing"",""พะเยา!J363"")"),4298)</f>
        <v>4298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IFERROR(__xludf.DUMMYFUNCTION("IMPORTRANGE(""https://docs.google.com/spreadsheets/d/11923uPwbBZFjjGgGUA6NLw09EwE0CqkOc4q9oUmW1yo/edit?usp=sharing"",""พะเยา!I364"")"),0)</f>
        <v>0</v>
      </c>
      <c r="J469" s="188">
        <f ca="1">IFERROR(__xludf.DUMMYFUNCTION("IMPORTRANGE(""https://docs.google.com/spreadsheets/d/11923uPwbBZFjjGgGUA6NLw09EwE0CqkOc4q9oUmW1yo/edit?usp=sharing"",""พะเยา!J364"")"),7504)</f>
        <v>7504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IFERROR(__xludf.DUMMYFUNCTION("IMPORTRANGE(""https://docs.google.com/spreadsheets/d/11923uPwbBZFjjGgGUA6NLw09EwE0CqkOc4q9oUmW1yo/edit?usp=sharing"",""พะเยา!I365"")"),0)</f>
        <v>0</v>
      </c>
      <c r="J470" s="188">
        <f ca="1">IFERROR(__xludf.DUMMYFUNCTION("IMPORTRANGE(""https://docs.google.com/spreadsheets/d/11923uPwbBZFjjGgGUA6NLw09EwE0CqkOc4q9oUmW1yo/edit?usp=sharing"",""พะเยา!J365"")"),1088)</f>
        <v>1088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IFERROR(__xludf.DUMMYFUNCTION("IMPORTRANGE(""https://docs.google.com/spreadsheets/d/11923uPwbBZFjjGgGUA6NLw09EwE0CqkOc4q9oUmW1yo/edit?usp=sharing"",""พะเยา!I366"")"),0)</f>
        <v>0</v>
      </c>
      <c r="J471" s="188">
        <f ca="1">IFERROR(__xludf.DUMMYFUNCTION("IMPORTRANGE(""https://docs.google.com/spreadsheets/d/11923uPwbBZFjjGgGUA6NLw09EwE0CqkOc4q9oUmW1yo/edit?usp=sharing"",""พะเยา!J366"")"),690)</f>
        <v>690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IFERROR(__xludf.DUMMYFUNCTION("IMPORTRANGE(""https://docs.google.com/spreadsheets/d/11923uPwbBZFjjGgGUA6NLw09EwE0CqkOc4q9oUmW1yo/edit?usp=sharing"",""พะเยา!I367"")"),0)</f>
        <v>0</v>
      </c>
      <c r="J472" s="188">
        <f ca="1">IFERROR(__xludf.DUMMYFUNCTION("IMPORTRANGE(""https://docs.google.com/spreadsheets/d/11923uPwbBZFjjGgGUA6NLw09EwE0CqkOc4q9oUmW1yo/edit?usp=sharing"",""พะเยา!J367"")"),126)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IFERROR(__xludf.DUMMYFUNCTION("IMPORTRANGE(""https://docs.google.com/spreadsheets/d/11923uPwbBZFjjGgGUA6NLw09EwE0CqkOc4q9oUmW1yo/edit?usp=sharing"",""พะเยา!I368"")"),31127)</f>
        <v>31127</v>
      </c>
      <c r="J473" s="418">
        <f ca="1">IFERROR(__xludf.DUMMYFUNCTION("IMPORTRANGE(""https://docs.google.com/spreadsheets/d/11923uPwbBZFjjGgGUA6NLw09EwE0CqkOc4q9oUmW1yo/edit?usp=sharing"",""พะเยา!J368"")"),0)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IFERROR(__xludf.DUMMYFUNCTION("IMPORTRANGE(""https://docs.google.com/spreadsheets/d/11923uPwbBZFjjGgGUA6NLw09EwE0CqkOc4q9oUmW1yo/edit?usp=sharing"",""พะเยา!I369"")"),5512)</f>
        <v>5512</v>
      </c>
      <c r="J474" s="418">
        <f ca="1">IFERROR(__xludf.DUMMYFUNCTION("IMPORTRANGE(""https://docs.google.com/spreadsheets/d/11923uPwbBZFjjGgGUA6NLw09EwE0CqkOc4q9oUmW1yo/edit?usp=sharing"",""พะเยา!J369"")"),0)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IFERROR(__xludf.DUMMYFUNCTION("IMPORTRANGE(""https://docs.google.com/spreadsheets/d/11923uPwbBZFjjGgGUA6NLw09EwE0CqkOc4q9oUmW1yo/edit?usp=sharing"",""พะเยา!I370"")"),0)</f>
        <v>0</v>
      </c>
      <c r="J475" s="188">
        <f ca="1">IFERROR(__xludf.DUMMYFUNCTION("IMPORTRANGE(""https://docs.google.com/spreadsheets/d/11923uPwbBZFjjGgGUA6NLw09EwE0CqkOc4q9oUmW1yo/edit?usp=sharing"",""พะเยา!J370"")"),0)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IFERROR(__xludf.DUMMYFUNCTION("IMPORTRANGE(""https://docs.google.com/spreadsheets/d/11923uPwbBZFjjGgGUA6NLw09EwE0CqkOc4q9oUmW1yo/edit?usp=sharing"",""พะเยา!I371"")"),0)</f>
        <v>0</v>
      </c>
      <c r="J476" s="188">
        <f ca="1">IFERROR(__xludf.DUMMYFUNCTION("IMPORTRANGE(""https://docs.google.com/spreadsheets/d/11923uPwbBZFjjGgGUA6NLw09EwE0CqkOc4q9oUmW1yo/edit?usp=sharing"",""พะเยา!J371"")"),0)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IFERROR(__xludf.DUMMYFUNCTION("IMPORTRANGE(""https://docs.google.com/spreadsheets/d/11923uPwbBZFjjGgGUA6NLw09EwE0CqkOc4q9oUmW1yo/edit?usp=sharing"",""พะเยา!I372"")"),0)</f>
        <v>0</v>
      </c>
      <c r="J477" s="188">
        <f ca="1">IFERROR(__xludf.DUMMYFUNCTION("IMPORTRANGE(""https://docs.google.com/spreadsheets/d/11923uPwbBZFjjGgGUA6NLw09EwE0CqkOc4q9oUmW1yo/edit?usp=sharing"",""พะเยา!J372"")"),0)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IFERROR(__xludf.DUMMYFUNCTION("IMPORTRANGE(""https://docs.google.com/spreadsheets/d/11923uPwbBZFjjGgGUA6NLw09EwE0CqkOc4q9oUmW1yo/edit?usp=sharing"",""พะเยา!I373"")"),0)</f>
        <v>0</v>
      </c>
      <c r="J478" s="188">
        <f ca="1">IFERROR(__xludf.DUMMYFUNCTION("IMPORTRANGE(""https://docs.google.com/spreadsheets/d/11923uPwbBZFjjGgGUA6NLw09EwE0CqkOc4q9oUmW1yo/edit?usp=sharing"",""พะเยา!J373"")"),0)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IFERROR(__xludf.DUMMYFUNCTION("IMPORTRANGE(""https://docs.google.com/spreadsheets/d/11923uPwbBZFjjGgGUA6NLw09EwE0CqkOc4q9oUmW1yo/edit?usp=sharing"",""พะเยา!I374"")"),0)</f>
        <v>0</v>
      </c>
      <c r="J479" s="188">
        <f ca="1">IFERROR(__xludf.DUMMYFUNCTION("IMPORTRANGE(""https://docs.google.com/spreadsheets/d/11923uPwbBZFjjGgGUA6NLw09EwE0CqkOc4q9oUmW1yo/edit?usp=sharing"",""พะเยา!J374"")"),0)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IFERROR(__xludf.DUMMYFUNCTION("IMPORTRANGE(""https://docs.google.com/spreadsheets/d/11923uPwbBZFjjGgGUA6NLw09EwE0CqkOc4q9oUmW1yo/edit?usp=sharing"",""พะเยา!I375"")"),0)</f>
        <v>0</v>
      </c>
      <c r="J480" s="188">
        <f ca="1">IFERROR(__xludf.DUMMYFUNCTION("IMPORTRANGE(""https://docs.google.com/spreadsheets/d/11923uPwbBZFjjGgGUA6NLw09EwE0CqkOc4q9oUmW1yo/edit?usp=sharing"",""พะเยา!J375"")"),0)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IFERROR(__xludf.DUMMYFUNCTION("IMPORTRANGE(""https://docs.google.com/spreadsheets/d/11923uPwbBZFjjGgGUA6NLw09EwE0CqkOc4q9oUmW1yo/edit?usp=sharing"",""พะเยา!I376"")"),31127)</f>
        <v>31127</v>
      </c>
      <c r="J481" s="418">
        <f ca="1">IFERROR(__xludf.DUMMYFUNCTION("IMPORTRANGE(""https://docs.google.com/spreadsheets/d/11923uPwbBZFjjGgGUA6NLw09EwE0CqkOc4q9oUmW1yo/edit?usp=sharing"",""พะเยา!J376"")"),0)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IFERROR(__xludf.DUMMYFUNCTION("IMPORTRANGE(""https://docs.google.com/spreadsheets/d/11923uPwbBZFjjGgGUA6NLw09EwE0CqkOc4q9oUmW1yo/edit?usp=sharing"",""พะเยา!I377"")"),5512)</f>
        <v>5512</v>
      </c>
      <c r="J482" s="418">
        <f ca="1">IFERROR(__xludf.DUMMYFUNCTION("IMPORTRANGE(""https://docs.google.com/spreadsheets/d/11923uPwbBZFjjGgGUA6NLw09EwE0CqkOc4q9oUmW1yo/edit?usp=sharing"",""พะเยา!J377"")"),0)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IFERROR(__xludf.DUMMYFUNCTION("IMPORTRANGE(""https://docs.google.com/spreadsheets/d/11923uPwbBZFjjGgGUA6NLw09EwE0CqkOc4q9oUmW1yo/edit?usp=sharing"",""พะเยา!I378"")"),0)</f>
        <v>0</v>
      </c>
      <c r="J483" s="188">
        <f ca="1">IFERROR(__xludf.DUMMYFUNCTION("IMPORTRANGE(""https://docs.google.com/spreadsheets/d/11923uPwbBZFjjGgGUA6NLw09EwE0CqkOc4q9oUmW1yo/edit?usp=sharing"",""พะเยา!J378"")"),0)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IFERROR(__xludf.DUMMYFUNCTION("IMPORTRANGE(""https://docs.google.com/spreadsheets/d/11923uPwbBZFjjGgGUA6NLw09EwE0CqkOc4q9oUmW1yo/edit?usp=sharing"",""พะเยา!I379"")"),0)</f>
        <v>0</v>
      </c>
      <c r="J484" s="188">
        <f ca="1">IFERROR(__xludf.DUMMYFUNCTION("IMPORTRANGE(""https://docs.google.com/spreadsheets/d/11923uPwbBZFjjGgGUA6NLw09EwE0CqkOc4q9oUmW1yo/edit?usp=sharing"",""พะเยา!J379"")"),0)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IFERROR(__xludf.DUMMYFUNCTION("IMPORTRANGE(""https://docs.google.com/spreadsheets/d/11923uPwbBZFjjGgGUA6NLw09EwE0CqkOc4q9oUmW1yo/edit?usp=sharing"",""พะเยา!I380"")"),0)</f>
        <v>0</v>
      </c>
      <c r="J485" s="188">
        <f ca="1">IFERROR(__xludf.DUMMYFUNCTION("IMPORTRANGE(""https://docs.google.com/spreadsheets/d/11923uPwbBZFjjGgGUA6NLw09EwE0CqkOc4q9oUmW1yo/edit?usp=sharing"",""พะเยา!J380"")"),0)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IFERROR(__xludf.DUMMYFUNCTION("IMPORTRANGE(""https://docs.google.com/spreadsheets/d/11923uPwbBZFjjGgGUA6NLw09EwE0CqkOc4q9oUmW1yo/edit?usp=sharing"",""พะเยา!I381"")"),0)</f>
        <v>0</v>
      </c>
      <c r="J486" s="188">
        <f ca="1">IFERROR(__xludf.DUMMYFUNCTION("IMPORTRANGE(""https://docs.google.com/spreadsheets/d/11923uPwbBZFjjGgGUA6NLw09EwE0CqkOc4q9oUmW1yo/edit?usp=sharing"",""พะเยา!J381"")"),0)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IFERROR(__xludf.DUMMYFUNCTION("IMPORTRANGE(""https://docs.google.com/spreadsheets/d/11923uPwbBZFjjGgGUA6NLw09EwE0CqkOc4q9oUmW1yo/edit?usp=sharing"",""พะเยา!I382"")"),0)</f>
        <v>0</v>
      </c>
      <c r="J487" s="418">
        <f ca="1">IFERROR(__xludf.DUMMYFUNCTION("IMPORTRANGE(""https://docs.google.com/spreadsheets/d/11923uPwbBZFjjGgGUA6NLw09EwE0CqkOc4q9oUmW1yo/edit?usp=sharing"",""พะเยา!J382"")"),0)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IFERROR(__xludf.DUMMYFUNCTION("IMPORTRANGE(""https://docs.google.com/spreadsheets/d/11923uPwbBZFjjGgGUA6NLw09EwE0CqkOc4q9oUmW1yo/edit?usp=sharing"",""พะเยา!I383"")"),0)</f>
        <v>0</v>
      </c>
      <c r="J488" s="418">
        <f ca="1">IFERROR(__xludf.DUMMYFUNCTION("IMPORTRANGE(""https://docs.google.com/spreadsheets/d/11923uPwbBZFjjGgGUA6NLw09EwE0CqkOc4q9oUmW1yo/edit?usp=sharing"",""พะเยา!J383"")"),0)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IFERROR(__xludf.DUMMYFUNCTION("IMPORTRANGE(""https://docs.google.com/spreadsheets/d/11923uPwbBZFjjGgGUA6NLw09EwE0CqkOc4q9oUmW1yo/edit?usp=sharing"",""พะเยา!I384"")"),0)</f>
        <v>0</v>
      </c>
      <c r="J489" s="188">
        <f ca="1">IFERROR(__xludf.DUMMYFUNCTION("IMPORTRANGE(""https://docs.google.com/spreadsheets/d/11923uPwbBZFjjGgGUA6NLw09EwE0CqkOc4q9oUmW1yo/edit?usp=sharing"",""พะเยา!J384"")"),0)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IFERROR(__xludf.DUMMYFUNCTION("IMPORTRANGE(""https://docs.google.com/spreadsheets/d/11923uPwbBZFjjGgGUA6NLw09EwE0CqkOc4q9oUmW1yo/edit?usp=sharing"",""พะเยา!I385"")"),0)</f>
        <v>0</v>
      </c>
      <c r="J490" s="188">
        <f ca="1">IFERROR(__xludf.DUMMYFUNCTION("IMPORTRANGE(""https://docs.google.com/spreadsheets/d/11923uPwbBZFjjGgGUA6NLw09EwE0CqkOc4q9oUmW1yo/edit?usp=sharing"",""พะเยา!J385"")"),0)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IFERROR(__xludf.DUMMYFUNCTION("IMPORTRANGE(""https://docs.google.com/spreadsheets/d/11923uPwbBZFjjGgGUA6NLw09EwE0CqkOc4q9oUmW1yo/edit?usp=sharing"",""พะเยา!I386"")"),0)</f>
        <v>0</v>
      </c>
      <c r="J491" s="188">
        <f ca="1">IFERROR(__xludf.DUMMYFUNCTION("IMPORTRANGE(""https://docs.google.com/spreadsheets/d/11923uPwbBZFjjGgGUA6NLw09EwE0CqkOc4q9oUmW1yo/edit?usp=sharing"",""พะเยา!J386"")"),0)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IFERROR(__xludf.DUMMYFUNCTION("IMPORTRANGE(""https://docs.google.com/spreadsheets/d/11923uPwbBZFjjGgGUA6NLw09EwE0CqkOc4q9oUmW1yo/edit?usp=sharing"",""พะเยา!I387"")"),0)</f>
        <v>0</v>
      </c>
      <c r="J492" s="188">
        <f ca="1">IFERROR(__xludf.DUMMYFUNCTION("IMPORTRANGE(""https://docs.google.com/spreadsheets/d/11923uPwbBZFjjGgGUA6NLw09EwE0CqkOc4q9oUmW1yo/edit?usp=sharing"",""พะเยา!J387"")"),0)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IFERROR(__xludf.DUMMYFUNCTION("IMPORTRANGE(""https://docs.google.com/spreadsheets/d/11923uPwbBZFjjGgGUA6NLw09EwE0CqkOc4q9oUmW1yo/edit?usp=sharing"",""พะเยา!I388"")"),0)</f>
        <v>0</v>
      </c>
      <c r="J493" s="188">
        <f ca="1">IFERROR(__xludf.DUMMYFUNCTION("IMPORTRANGE(""https://docs.google.com/spreadsheets/d/11923uPwbBZFjjGgGUA6NLw09EwE0CqkOc4q9oUmW1yo/edit?usp=sharing"",""พะเยา!J388"")"),0)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IFERROR(__xludf.DUMMYFUNCTION("IMPORTRANGE(""https://docs.google.com/spreadsheets/d/11923uPwbBZFjjGgGUA6NLw09EwE0CqkOc4q9oUmW1yo/edit?usp=sharing"",""พะเยา!I389"")"),0)</f>
        <v>0</v>
      </c>
      <c r="J494" s="434">
        <f ca="1">IFERROR(__xludf.DUMMYFUNCTION("IMPORTRANGE(""https://docs.google.com/spreadsheets/d/11923uPwbBZFjjGgGUA6NLw09EwE0CqkOc4q9oUmW1yo/edit?usp=sharing"",""พะเยา!J389"")"),0)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IFERROR(__xludf.DUMMYFUNCTION("IMPORTRANGE(""https://docs.google.com/spreadsheets/d/11923uPwbBZFjjGgGUA6NLw09EwE0CqkOc4q9oUmW1yo/edit?usp=sharing"",""พะเยา!I390"")"),0)</f>
        <v>0</v>
      </c>
      <c r="J495" s="434">
        <f ca="1">IFERROR(__xludf.DUMMYFUNCTION("IMPORTRANGE(""https://docs.google.com/spreadsheets/d/11923uPwbBZFjjGgGUA6NLw09EwE0CqkOc4q9oUmW1yo/edit?usp=sharing"",""พะเยา!J390"")"),0)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IFERROR(__xludf.DUMMYFUNCTION("IMPORTRANGE(""https://docs.google.com/spreadsheets/d/11923uPwbBZFjjGgGUA6NLw09EwE0CqkOc4q9oUmW1yo/edit?usp=sharing"",""พะเยา!I391"")"),0)</f>
        <v>0</v>
      </c>
      <c r="J496" s="434">
        <f ca="1">IFERROR(__xludf.DUMMYFUNCTION("IMPORTRANGE(""https://docs.google.com/spreadsheets/d/11923uPwbBZFjjGgGUA6NLw09EwE0CqkOc4q9oUmW1yo/edit?usp=sharing"",""พะเยา!J391"")"),0)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IFERROR(__xludf.DUMMYFUNCTION("IMPORTRANGE(""https://docs.google.com/spreadsheets/d/11923uPwbBZFjjGgGUA6NLw09EwE0CqkOc4q9oUmW1yo/edit?usp=sharing"",""พะเยา!I392"")"),100)</f>
        <v>100</v>
      </c>
      <c r="J497" s="441">
        <f ca="1">IFERROR(__xludf.DUMMYFUNCTION("IMPORTRANGE(""https://docs.google.com/spreadsheets/d/11923uPwbBZFjjGgGUA6NLw09EwE0CqkOc4q9oUmW1yo/edit?usp=sharing"",""พะเยา!J392"")"),6)</f>
        <v>6</v>
      </c>
      <c r="K497" s="442">
        <f t="shared" ca="1" si="117"/>
        <v>6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IFERROR(__xludf.DUMMYFUNCTION("IMPORTRANGE(""https://docs.google.com/spreadsheets/d/11923uPwbBZFjjGgGUA6NLw09EwE0CqkOc4q9oUmW1yo/edit?usp=sharing"",""พะเยา!I393"")"),100)</f>
        <v>100</v>
      </c>
      <c r="J498" s="418">
        <f ca="1">IFERROR(__xludf.DUMMYFUNCTION("IMPORTRANGE(""https://docs.google.com/spreadsheets/d/11923uPwbBZFjjGgGUA6NLw09EwE0CqkOc4q9oUmW1yo/edit?usp=sharing"",""พะเยา!J393"")"),6)</f>
        <v>6</v>
      </c>
      <c r="K498" s="163">
        <f t="shared" ca="1" si="117"/>
        <v>6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IFERROR(__xludf.DUMMYFUNCTION("IMPORTRANGE(""https://docs.google.com/spreadsheets/d/11923uPwbBZFjjGgGUA6NLw09EwE0CqkOc4q9oUmW1yo/edit?usp=sharing"",""พะเยา!I394"")"),20)</f>
        <v>20</v>
      </c>
      <c r="J499" s="418">
        <f ca="1">IFERROR(__xludf.DUMMYFUNCTION("IMPORTRANGE(""https://docs.google.com/spreadsheets/d/11923uPwbBZFjjGgGUA6NLw09EwE0CqkOc4q9oUmW1yo/edit?usp=sharing"",""พะเยา!J394"")"),2)</f>
        <v>2</v>
      </c>
      <c r="K499" s="201">
        <f t="shared" ca="1" si="117"/>
        <v>10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IFERROR(__xludf.DUMMYFUNCTION("IMPORTRANGE(""https://docs.google.com/spreadsheets/d/11923uPwbBZFjjGgGUA6NLw09EwE0CqkOc4q9oUmW1yo/edit?usp=sharing"",""พะเยา!I395"")"),0)</f>
        <v>0</v>
      </c>
      <c r="J500" s="162">
        <f ca="1">IFERROR(__xludf.DUMMYFUNCTION("IMPORTRANGE(""https://docs.google.com/spreadsheets/d/11923uPwbBZFjjGgGUA6NLw09EwE0CqkOc4q9oUmW1yo/edit?usp=sharing"",""พะเยา!J395"")"),0)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IFERROR(__xludf.DUMMYFUNCTION("IMPORTRANGE(""https://docs.google.com/spreadsheets/d/11923uPwbBZFjjGgGUA6NLw09EwE0CqkOc4q9oUmW1yo/edit?usp=sharing"",""พะเยา!I396"")"),0)</f>
        <v>0</v>
      </c>
      <c r="J501" s="162">
        <f ca="1">IFERROR(__xludf.DUMMYFUNCTION("IMPORTRANGE(""https://docs.google.com/spreadsheets/d/11923uPwbBZFjjGgGUA6NLw09EwE0CqkOc4q9oUmW1yo/edit?usp=sharing"",""พะเยา!J396"")"),0)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IFERROR(__xludf.DUMMYFUNCTION("IMPORTRANGE(""https://docs.google.com/spreadsheets/d/11923uPwbBZFjjGgGUA6NLw09EwE0CqkOc4q9oUmW1yo/edit?usp=sharing"",""พะเยา!I397"")"),0)</f>
        <v>0</v>
      </c>
      <c r="J502" s="188">
        <f ca="1">IFERROR(__xludf.DUMMYFUNCTION("IMPORTRANGE(""https://docs.google.com/spreadsheets/d/11923uPwbBZFjjGgGUA6NLw09EwE0CqkOc4q9oUmW1yo/edit?usp=sharing"",""พะเยา!J397"")"),0)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IFERROR(__xludf.DUMMYFUNCTION("IMPORTRANGE(""https://docs.google.com/spreadsheets/d/11923uPwbBZFjjGgGUA6NLw09EwE0CqkOc4q9oUmW1yo/edit?usp=sharing"",""พะเยา!I398"")"),0)</f>
        <v>0</v>
      </c>
      <c r="J503" s="197">
        <f ca="1">IFERROR(__xludf.DUMMYFUNCTION("IMPORTRANGE(""https://docs.google.com/spreadsheets/d/11923uPwbBZFjjGgGUA6NLw09EwE0CqkOc4q9oUmW1yo/edit?usp=sharing"",""พะเยา!J398"")"),0)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IFERROR(__xludf.DUMMYFUNCTION("IMPORTRANGE(""https://docs.google.com/spreadsheets/d/11923uPwbBZFjjGgGUA6NLw09EwE0CqkOc4q9oUmW1yo/edit?usp=sharing"",""พะเยา!I399"")"),0)</f>
        <v>0</v>
      </c>
      <c r="J504" s="188">
        <f ca="1">IFERROR(__xludf.DUMMYFUNCTION("IMPORTRANGE(""https://docs.google.com/spreadsheets/d/11923uPwbBZFjjGgGUA6NLw09EwE0CqkOc4q9oUmW1yo/edit?usp=sharing"",""พะเยา!J399"")"),0)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IFERROR(__xludf.DUMMYFUNCTION("IMPORTRANGE(""https://docs.google.com/spreadsheets/d/11923uPwbBZFjjGgGUA6NLw09EwE0CqkOc4q9oUmW1yo/edit?usp=sharing"",""พะเยา!I400"")"),0)</f>
        <v>0</v>
      </c>
      <c r="J505" s="197">
        <f ca="1">IFERROR(__xludf.DUMMYFUNCTION("IMPORTRANGE(""https://docs.google.com/spreadsheets/d/11923uPwbBZFjjGgGUA6NLw09EwE0CqkOc4q9oUmW1yo/edit?usp=sharing"",""พะเยา!J400"")"),0)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IFERROR(__xludf.DUMMYFUNCTION("IMPORTRANGE(""https://docs.google.com/spreadsheets/d/11923uPwbBZFjjGgGUA6NLw09EwE0CqkOc4q9oUmW1yo/edit?usp=sharing"",""พะเยา!I401"")"),0)</f>
        <v>0</v>
      </c>
      <c r="J506" s="188">
        <f ca="1">IFERROR(__xludf.DUMMYFUNCTION("IMPORTRANGE(""https://docs.google.com/spreadsheets/d/11923uPwbBZFjjGgGUA6NLw09EwE0CqkOc4q9oUmW1yo/edit?usp=sharing"",""พะเยา!J401"")"),0)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IFERROR(__xludf.DUMMYFUNCTION("IMPORTRANGE(""https://docs.google.com/spreadsheets/d/11923uPwbBZFjjGgGUA6NLw09EwE0CqkOc4q9oUmW1yo/edit?usp=sharing"",""พะเยา!I402"")"),0)</f>
        <v>0</v>
      </c>
      <c r="J507" s="197">
        <f ca="1">IFERROR(__xludf.DUMMYFUNCTION("IMPORTRANGE(""https://docs.google.com/spreadsheets/d/11923uPwbBZFjjGgGUA6NLw09EwE0CqkOc4q9oUmW1yo/edit?usp=sharing"",""พะเยา!J402"")"),0)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IFERROR(__xludf.DUMMYFUNCTION("IMPORTRANGE(""https://docs.google.com/spreadsheets/d/11923uPwbBZFjjGgGUA6NLw09EwE0CqkOc4q9oUmW1yo/edit?usp=sharing"",""พะเยา!I403"")"),0)</f>
        <v>0</v>
      </c>
      <c r="J508" s="162">
        <f ca="1">IFERROR(__xludf.DUMMYFUNCTION("IMPORTRANGE(""https://docs.google.com/spreadsheets/d/11923uPwbBZFjjGgGUA6NLw09EwE0CqkOc4q9oUmW1yo/edit?usp=sharing"",""พะเยา!J403"")"),6)</f>
        <v>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IFERROR(__xludf.DUMMYFUNCTION("IMPORTRANGE(""https://docs.google.com/spreadsheets/d/11923uPwbBZFjjGgGUA6NLw09EwE0CqkOc4q9oUmW1yo/edit?usp=sharing"",""พะเยา!I404"")"),0)</f>
        <v>0</v>
      </c>
      <c r="J509" s="162">
        <f ca="1">IFERROR(__xludf.DUMMYFUNCTION("IMPORTRANGE(""https://docs.google.com/spreadsheets/d/11923uPwbBZFjjGgGUA6NLw09EwE0CqkOc4q9oUmW1yo/edit?usp=sharing"",""พะเยา!J404"")"),2)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IFERROR(__xludf.DUMMYFUNCTION("IMPORTRANGE(""https://docs.google.com/spreadsheets/d/11923uPwbBZFjjGgGUA6NLw09EwE0CqkOc4q9oUmW1yo/edit?usp=sharing"",""พะเยา!I405"")"),0)</f>
        <v>0</v>
      </c>
      <c r="J510" s="197">
        <f ca="1">IFERROR(__xludf.DUMMYFUNCTION("IMPORTRANGE(""https://docs.google.com/spreadsheets/d/11923uPwbBZFjjGgGUA6NLw09EwE0CqkOc4q9oUmW1yo/edit?usp=sharing"",""พะเยา!J405"")"),6)</f>
        <v>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IFERROR(__xludf.DUMMYFUNCTION("IMPORTRANGE(""https://docs.google.com/spreadsheets/d/11923uPwbBZFjjGgGUA6NLw09EwE0CqkOc4q9oUmW1yo/edit?usp=sharing"",""พะเยา!I406"")"),0)</f>
        <v>0</v>
      </c>
      <c r="J511" s="197">
        <f ca="1">IFERROR(__xludf.DUMMYFUNCTION("IMPORTRANGE(""https://docs.google.com/spreadsheets/d/11923uPwbBZFjjGgGUA6NLw09EwE0CqkOc4q9oUmW1yo/edit?usp=sharing"",""พะเยา!J406"")"),2)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IFERROR(__xludf.DUMMYFUNCTION("IMPORTRANGE(""https://docs.google.com/spreadsheets/d/11923uPwbBZFjjGgGUA6NLw09EwE0CqkOc4q9oUmW1yo/edit?usp=sharing"",""พะเยา!I407"")"),0)</f>
        <v>0</v>
      </c>
      <c r="J512" s="197">
        <f ca="1">IFERROR(__xludf.DUMMYFUNCTION("IMPORTRANGE(""https://docs.google.com/spreadsheets/d/11923uPwbBZFjjGgGUA6NLw09EwE0CqkOc4q9oUmW1yo/edit?usp=sharing"",""พะเยา!J407"")"),0)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IFERROR(__xludf.DUMMYFUNCTION("IMPORTRANGE(""https://docs.google.com/spreadsheets/d/11923uPwbBZFjjGgGUA6NLw09EwE0CqkOc4q9oUmW1yo/edit?usp=sharing"",""พะเยา!I408"")"),0)</f>
        <v>0</v>
      </c>
      <c r="J513" s="197">
        <f ca="1">IFERROR(__xludf.DUMMYFUNCTION("IMPORTRANGE(""https://docs.google.com/spreadsheets/d/11923uPwbBZFjjGgGUA6NLw09EwE0CqkOc4q9oUmW1yo/edit?usp=sharing"",""พะเยา!J408"")"),0)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IFERROR(__xludf.DUMMYFUNCTION("IMPORTRANGE(""https://docs.google.com/spreadsheets/d/11923uPwbBZFjjGgGUA6NLw09EwE0CqkOc4q9oUmW1yo/edit?usp=sharing"",""พะเยา!I409"")"),0)</f>
        <v>0</v>
      </c>
      <c r="J514" s="197">
        <f ca="1">IFERROR(__xludf.DUMMYFUNCTION("IMPORTRANGE(""https://docs.google.com/spreadsheets/d/11923uPwbBZFjjGgGUA6NLw09EwE0CqkOc4q9oUmW1yo/edit?usp=sharing"",""พะเยา!J409"")"),0)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IFERROR(__xludf.DUMMYFUNCTION("IMPORTRANGE(""https://docs.google.com/spreadsheets/d/11923uPwbBZFjjGgGUA6NLw09EwE0CqkOc4q9oUmW1yo/edit?usp=sharing"",""พะเยา!I410"")"),0)</f>
        <v>0</v>
      </c>
      <c r="J515" s="197">
        <f ca="1">IFERROR(__xludf.DUMMYFUNCTION("IMPORTRANGE(""https://docs.google.com/spreadsheets/d/11923uPwbBZFjjGgGUA6NLw09EwE0CqkOc4q9oUmW1yo/edit?usp=sharing"",""พะเยา!J410"")"),0)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IFERROR(__xludf.DUMMYFUNCTION("IMPORTRANGE(""https://docs.google.com/spreadsheets/d/11923uPwbBZFjjGgGUA6NLw09EwE0CqkOc4q9oUmW1yo/edit?usp=sharing"",""พะเยา!I411"")"),0)</f>
        <v>0</v>
      </c>
      <c r="J516" s="266">
        <f ca="1">IFERROR(__xludf.DUMMYFUNCTION("IMPORTRANGE(""https://docs.google.com/spreadsheets/d/11923uPwbBZFjjGgGUA6NLw09EwE0CqkOc4q9oUmW1yo/edit?usp=sharing"",""พะเยา!J411"")"),0)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IFERROR(__xludf.DUMMYFUNCTION("IMPORTRANGE(""https://docs.google.com/spreadsheets/d/11923uPwbBZFjjGgGUA6NLw09EwE0CqkOc4q9oUmW1yo/edit?usp=sharing"",""พะเยา!I412"")"),0)</f>
        <v>0</v>
      </c>
      <c r="J517" s="282">
        <f ca="1">IFERROR(__xludf.DUMMYFUNCTION("IMPORTRANGE(""https://docs.google.com/spreadsheets/d/11923uPwbBZFjjGgGUA6NLw09EwE0CqkOc4q9oUmW1yo/edit?usp=sharing"",""พะเยา!J412"")"),0)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IFERROR(__xludf.DUMMYFUNCTION("IMPORTRANGE(""https://docs.google.com/spreadsheets/d/11923uPwbBZFjjGgGUA6NLw09EwE0CqkOc4q9oUmW1yo/edit?usp=sharing"",""พะเยา!I413"")"),0)</f>
        <v>0</v>
      </c>
      <c r="J518" s="282">
        <f ca="1">IFERROR(__xludf.DUMMYFUNCTION("IMPORTRANGE(""https://docs.google.com/spreadsheets/d/11923uPwbBZFjjGgGUA6NLw09EwE0CqkOc4q9oUmW1yo/edit?usp=sharing"",""พะเยา!J413"")"),0)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IFERROR(__xludf.DUMMYFUNCTION("IMPORTRANGE(""https://docs.google.com/spreadsheets/d/11923uPwbBZFjjGgGUA6NLw09EwE0CqkOc4q9oUmW1yo/edit?usp=sharing"",""พะเยา!I414"")"),0)</f>
        <v>0</v>
      </c>
      <c r="J519" s="187">
        <f ca="1">IFERROR(__xludf.DUMMYFUNCTION("IMPORTRANGE(""https://docs.google.com/spreadsheets/d/11923uPwbBZFjjGgGUA6NLw09EwE0CqkOc4q9oUmW1yo/edit?usp=sharing"",""พะเยา!J414"")"),0)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IFERROR(__xludf.DUMMYFUNCTION("IMPORTRANGE(""https://docs.google.com/spreadsheets/d/11923uPwbBZFjjGgGUA6NLw09EwE0CqkOc4q9oUmW1yo/edit?usp=sharing"",""พะเยา!I415"")"),0)</f>
        <v>0</v>
      </c>
      <c r="J520" s="187">
        <f ca="1">IFERROR(__xludf.DUMMYFUNCTION("IMPORTRANGE(""https://docs.google.com/spreadsheets/d/11923uPwbBZFjjGgGUA6NLw09EwE0CqkOc4q9oUmW1yo/edit?usp=sharing"",""พะเยา!J415"")"),0)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IFERROR(__xludf.DUMMYFUNCTION("IMPORTRANGE(""https://docs.google.com/spreadsheets/d/11923uPwbBZFjjGgGUA6NLw09EwE0CqkOc4q9oUmW1yo/edit?usp=sharing"",""พะเยา!I416"")"),0)</f>
        <v>0</v>
      </c>
      <c r="J521" s="187">
        <f ca="1">IFERROR(__xludf.DUMMYFUNCTION("IMPORTRANGE(""https://docs.google.com/spreadsheets/d/11923uPwbBZFjjGgGUA6NLw09EwE0CqkOc4q9oUmW1yo/edit?usp=sharing"",""พะเยา!J416"")"),0)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IFERROR(__xludf.DUMMYFUNCTION("IMPORTRANGE(""https://docs.google.com/spreadsheets/d/11923uPwbBZFjjGgGUA6NLw09EwE0CqkOc4q9oUmW1yo/edit?usp=sharing"",""พะเยา!I417"")"),0)</f>
        <v>0</v>
      </c>
      <c r="J522" s="187">
        <f ca="1">IFERROR(__xludf.DUMMYFUNCTION("IMPORTRANGE(""https://docs.google.com/spreadsheets/d/11923uPwbBZFjjGgGUA6NLw09EwE0CqkOc4q9oUmW1yo/edit?usp=sharing"",""พะเยา!J417"")"),0)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IFERROR(__xludf.DUMMYFUNCTION("IMPORTRANGE(""https://docs.google.com/spreadsheets/d/11923uPwbBZFjjGgGUA6NLw09EwE0CqkOc4q9oUmW1yo/edit?usp=sharing"",""พะเยา!I418"")"),0)</f>
        <v>0</v>
      </c>
      <c r="J523" s="187">
        <f ca="1">IFERROR(__xludf.DUMMYFUNCTION("IMPORTRANGE(""https://docs.google.com/spreadsheets/d/11923uPwbBZFjjGgGUA6NLw09EwE0CqkOc4q9oUmW1yo/edit?usp=sharing"",""พะเยา!J418"")"),6)</f>
        <v>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IFERROR(__xludf.DUMMYFUNCTION("IMPORTRANGE(""https://docs.google.com/spreadsheets/d/11923uPwbBZFjjGgGUA6NLw09EwE0CqkOc4q9oUmW1yo/edit?usp=sharing"",""พะเยา!I419"")"),0)</f>
        <v>0</v>
      </c>
      <c r="J524" s="187">
        <f ca="1">IFERROR(__xludf.DUMMYFUNCTION("IMPORTRANGE(""https://docs.google.com/spreadsheets/d/11923uPwbBZFjjGgGUA6NLw09EwE0CqkOc4q9oUmW1yo/edit?usp=sharing"",""พะเยา!J419"")"),4)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IFERROR(__xludf.DUMMYFUNCTION("IMPORTRANGE(""https://docs.google.com/spreadsheets/d/11923uPwbBZFjjGgGUA6NLw09EwE0CqkOc4q9oUmW1yo/edit?usp=sharing"",""พะเยา!I420"")"),6)</f>
        <v>6</v>
      </c>
      <c r="J525" s="282">
        <f ca="1">IFERROR(__xludf.DUMMYFUNCTION("IMPORTRANGE(""https://docs.google.com/spreadsheets/d/11923uPwbBZFjjGgGUA6NLw09EwE0CqkOc4q9oUmW1yo/edit?usp=sharing"",""พะเยา!J420"")"),0)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IFERROR(__xludf.DUMMYFUNCTION("IMPORTRANGE(""https://docs.google.com/spreadsheets/d/11923uPwbBZFjjGgGUA6NLw09EwE0CqkOc4q9oUmW1yo/edit?usp=sharing"",""พะเยา!I421"")"),4)</f>
        <v>4</v>
      </c>
      <c r="J526" s="282">
        <f ca="1">IFERROR(__xludf.DUMMYFUNCTION("IMPORTRANGE(""https://docs.google.com/spreadsheets/d/11923uPwbBZFjjGgGUA6NLw09EwE0CqkOc4q9oUmW1yo/edit?usp=sharing"",""พะเยา!J421"")"),0)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IFERROR(__xludf.DUMMYFUNCTION("IMPORTRANGE(""https://docs.google.com/spreadsheets/d/11923uPwbBZFjjGgGUA6NLw09EwE0CqkOc4q9oUmW1yo/edit?usp=sharing"",""พะเยา!I422"")"),0)</f>
        <v>0</v>
      </c>
      <c r="J527" s="197">
        <f ca="1">IFERROR(__xludf.DUMMYFUNCTION("IMPORTRANGE(""https://docs.google.com/spreadsheets/d/11923uPwbBZFjjGgGUA6NLw09EwE0CqkOc4q9oUmW1yo/edit?usp=sharing"",""พะเยา!J422"")"),0)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IFERROR(__xludf.DUMMYFUNCTION("IMPORTRANGE(""https://docs.google.com/spreadsheets/d/11923uPwbBZFjjGgGUA6NLw09EwE0CqkOc4q9oUmW1yo/edit?usp=sharing"",""พะเยา!I423"")"),0)</f>
        <v>0</v>
      </c>
      <c r="J528" s="197">
        <f ca="1">IFERROR(__xludf.DUMMYFUNCTION("IMPORTRANGE(""https://docs.google.com/spreadsheets/d/11923uPwbBZFjjGgGUA6NLw09EwE0CqkOc4q9oUmW1yo/edit?usp=sharing"",""พะเยา!J423"")"),0)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IFERROR(__xludf.DUMMYFUNCTION("IMPORTRANGE(""https://docs.google.com/spreadsheets/d/11923uPwbBZFjjGgGUA6NLw09EwE0CqkOc4q9oUmW1yo/edit?usp=sharing"",""พะเยา!I424"")"),0)</f>
        <v>0</v>
      </c>
      <c r="J529" s="197">
        <f ca="1">IFERROR(__xludf.DUMMYFUNCTION("IMPORTRANGE(""https://docs.google.com/spreadsheets/d/11923uPwbBZFjjGgGUA6NLw09EwE0CqkOc4q9oUmW1yo/edit?usp=sharing"",""พะเยา!J424"")"),0)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IFERROR(__xludf.DUMMYFUNCTION("IMPORTRANGE(""https://docs.google.com/spreadsheets/d/11923uPwbBZFjjGgGUA6NLw09EwE0CqkOc4q9oUmW1yo/edit?usp=sharing"",""พะเยา!I425"")"),0)</f>
        <v>0</v>
      </c>
      <c r="J530" s="197">
        <f ca="1">IFERROR(__xludf.DUMMYFUNCTION("IMPORTRANGE(""https://docs.google.com/spreadsheets/d/11923uPwbBZFjjGgGUA6NLw09EwE0CqkOc4q9oUmW1yo/edit?usp=sharing"",""พะเยา!J425"")"),0)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IFERROR(__xludf.DUMMYFUNCTION("IMPORTRANGE(""https://docs.google.com/spreadsheets/d/11923uPwbBZFjjGgGUA6NLw09EwE0CqkOc4q9oUmW1yo/edit?usp=sharing"",""พะเยา!I426"")"),0)</f>
        <v>0</v>
      </c>
      <c r="J531" s="197">
        <f ca="1">IFERROR(__xludf.DUMMYFUNCTION("IMPORTRANGE(""https://docs.google.com/spreadsheets/d/11923uPwbBZFjjGgGUA6NLw09EwE0CqkOc4q9oUmW1yo/edit?usp=sharing"",""พะเยา!J426"")"),0)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IFERROR(__xludf.DUMMYFUNCTION("IMPORTRANGE(""https://docs.google.com/spreadsheets/d/11923uPwbBZFjjGgGUA6NLw09EwE0CqkOc4q9oUmW1yo/edit?usp=sharing"",""พะเยา!I427"")"),0)</f>
        <v>0</v>
      </c>
      <c r="J532" s="464">
        <f ca="1">IFERROR(__xludf.DUMMYFUNCTION("IMPORTRANGE(""https://docs.google.com/spreadsheets/d/11923uPwbBZFjjGgGUA6NLw09EwE0CqkOc4q9oUmW1yo/edit?usp=sharing"",""พะเยา!J427"")"),0)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IFERROR(__xludf.DUMMYFUNCTION("IMPORTRANGE(""https://docs.google.com/spreadsheets/d/11923uPwbBZFjjGgGUA6NLw09EwE0CqkOc4q9oUmW1yo/edit?usp=sharing"",""พะเยา!I428"")"),22)</f>
        <v>22</v>
      </c>
      <c r="J533" s="408">
        <f ca="1">IFERROR(__xludf.DUMMYFUNCTION("IMPORTRANGE(""https://docs.google.com/spreadsheets/d/11923uPwbBZFjjGgGUA6NLw09EwE0CqkOc4q9oUmW1yo/edit?usp=sharing"",""พะเยา!J428"")"),22)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IFERROR(__xludf.DUMMYFUNCTION("IMPORTRANGE(""https://docs.google.com/spreadsheets/d/11923uPwbBZFjjGgGUA6NLw09EwE0CqkOc4q9oUmW1yo/edit?usp=sharing"",""พะเยา!L428"")"),34340)</f>
        <v>34340</v>
      </c>
      <c r="M533" s="410"/>
      <c r="N533" s="410">
        <f ca="1">IFERROR(__xludf.DUMMYFUNCTION("IMPORTRANGE(""https://docs.google.com/spreadsheets/d/11923uPwbBZFjjGgGUA6NLw09EwE0CqkOc4q9oUmW1yo/edit?usp=sharing"",""พะเยา!M428"")"),18660)</f>
        <v>18660</v>
      </c>
      <c r="O533" s="410">
        <f t="shared" ref="O533:O537" ca="1" si="118">+IF(L533&gt;0,N533*100/L533,0)</f>
        <v>54.338963308095515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IFERROR(__xludf.DUMMYFUNCTION("IMPORTRANGE(""https://docs.google.com/spreadsheets/d/11923uPwbBZFjjGgGUA6NLw09EwE0CqkOc4q9oUmW1yo/edit?usp=sharing"",""พะเยา!L429"")"),0)</f>
        <v>0</v>
      </c>
      <c r="M534" s="164"/>
      <c r="N534" s="168">
        <f ca="1">IFERROR(__xludf.DUMMYFUNCTION("IMPORTRANGE(""https://docs.google.com/spreadsheets/d/11923uPwbBZFjjGgGUA6NLw09EwE0CqkOc4q9oUmW1yo/edit?usp=sharing"",""พะเยา!M429"")"),0)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IFERROR(__xludf.DUMMYFUNCTION("IMPORTRANGE(""https://docs.google.com/spreadsheets/d/11923uPwbBZFjjGgGUA6NLw09EwE0CqkOc4q9oUmW1yo/edit?usp=sharing"",""พะเยา!L430"")"),34340)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IFERROR(__xludf.DUMMYFUNCTION("IMPORTRANGE(""https://docs.google.com/spreadsheets/d/11923uPwbBZFjjGgGUA6NLw09EwE0CqkOc4q9oUmW1yo/edit?usp=sharing"",""พะเยา!M430"")"),18660)</f>
        <v>18660</v>
      </c>
      <c r="O535" s="168">
        <f t="shared" ca="1" si="118"/>
        <v>54.338963308095515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IFERROR(__xludf.DUMMYFUNCTION("IMPORTRANGE(""https://docs.google.com/spreadsheets/d/11923uPwbBZFjjGgGUA6NLw09EwE0CqkOc4q9oUmW1yo/edit?usp=sharing"",""พะเยา!L431"")"),0)</f>
        <v>0</v>
      </c>
      <c r="M536" s="168"/>
      <c r="N536" s="168">
        <f ca="1">IFERROR(__xludf.DUMMYFUNCTION("IMPORTRANGE(""https://docs.google.com/spreadsheets/d/11923uPwbBZFjjGgGUA6NLw09EwE0CqkOc4q9oUmW1yo/edit?usp=sharing"",""พะเยา!M431"")"),0)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IFERROR(__xludf.DUMMYFUNCTION("IMPORTRANGE(""https://docs.google.com/spreadsheets/d/11923uPwbBZFjjGgGUA6NLw09EwE0CqkOc4q9oUmW1yo/edit?usp=sharing"",""พะเยา!L432"")"),34340)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IFERROR(__xludf.DUMMYFUNCTION("IMPORTRANGE(""https://docs.google.com/spreadsheets/d/11923uPwbBZFjjGgGUA6NLw09EwE0CqkOc4q9oUmW1yo/edit?usp=sharing"",""พะเยา!M432"")"),18660)</f>
        <v>18660</v>
      </c>
      <c r="O537" s="168">
        <f t="shared" ca="1" si="118"/>
        <v>54.338963308095515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IFERROR(__xludf.DUMMYFUNCTION("IMPORTRANGE(""https://docs.google.com/spreadsheets/d/11923uPwbBZFjjGgGUA6NLw09EwE0CqkOc4q9oUmW1yo/edit?usp=sharing"",""พะเยา!M433"")"),12520)</f>
        <v>12520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IFERROR(__xludf.DUMMYFUNCTION("IMPORTRANGE(""https://docs.google.com/spreadsheets/d/11923uPwbBZFjjGgGUA6NLw09EwE0CqkOc4q9oUmW1yo/edit?usp=sharing"",""พะเยา!M434"")"),0)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IFERROR(__xludf.DUMMYFUNCTION("IMPORTRANGE(""https://docs.google.com/spreadsheets/d/11923uPwbBZFjjGgGUA6NLw09EwE0CqkOc4q9oUmW1yo/edit?usp=sharing"",""พะเยา!M435"")"),0)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IFERROR(__xludf.DUMMYFUNCTION("IMPORTRANGE(""https://docs.google.com/spreadsheets/d/11923uPwbBZFjjGgGUA6NLw09EwE0CqkOc4q9oUmW1yo/edit?usp=sharing"",""พะเยา!M436"")"),6140)</f>
        <v>6140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IFERROR(__xludf.DUMMYFUNCTION("IMPORTRANGE(""https://docs.google.com/spreadsheets/d/11923uPwbBZFjjGgGUA6NLw09EwE0CqkOc4q9oUmW1yo/edit?usp=sharing"",""พะเยา!J438"")"),0)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IFERROR(__xludf.DUMMYFUNCTION("IMPORTRANGE(""https://docs.google.com/spreadsheets/d/11923uPwbBZFjjGgGUA6NLw09EwE0CqkOc4q9oUmW1yo/edit?usp=sharing"",""พะเยา!J439"")"),1)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IFERROR(__xludf.DUMMYFUNCTION("IMPORTRANGE(""https://docs.google.com/spreadsheets/d/11923uPwbBZFjjGgGUA6NLw09EwE0CqkOc4q9oUmW1yo/edit?usp=sharing"",""พะเยา!J440"")"),1)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IFERROR(__xludf.DUMMYFUNCTION("IMPORTRANGE(""https://docs.google.com/spreadsheets/d/11923uPwbBZFjjGgGUA6NLw09EwE0CqkOc4q9oUmW1yo/edit?usp=sharing"",""พะเยา!J441"")"),1)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IFERROR(__xludf.DUMMYFUNCTION("IMPORTRANGE(""https://docs.google.com/spreadsheets/d/11923uPwbBZFjjGgGUA6NLw09EwE0CqkOc4q9oUmW1yo/edit?usp=sharing"",""พะเยา!I442"")"),22)</f>
        <v>22</v>
      </c>
      <c r="J547" s="188">
        <f ca="1">IFERROR(__xludf.DUMMYFUNCTION("IMPORTRANGE(""https://docs.google.com/spreadsheets/d/11923uPwbBZFjjGgGUA6NLw09EwE0CqkOc4q9oUmW1yo/edit?usp=sharing"",""พะเยา!J442"")"),22)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IFERROR(__xludf.DUMMYFUNCTION("IMPORTRANGE(""https://docs.google.com/spreadsheets/d/11923uPwbBZFjjGgGUA6NLw09EwE0CqkOc4q9oUmW1yo/edit?usp=sharing"",""พะเยา!J166"")"),0)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IFERROR(__xludf.DUMMYFUNCTION("IMPORTRANGE(""https://docs.google.com/spreadsheets/d/11923uPwbBZFjjGgGUA6NLw09EwE0CqkOc4q9oUmW1yo/edit?usp=sharing"",""พะเยา!J444"")"),0)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IFERROR(__xludf.DUMMYFUNCTION("IMPORTRANGE(""https://docs.google.com/spreadsheets/d/11923uPwbBZFjjGgGUA6NLw09EwE0CqkOc4q9oUmW1yo/edit?usp=sharing"",""พะเยา!J445"")"),0)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IFERROR(__xludf.DUMMYFUNCTION("IMPORTRANGE(""https://docs.google.com/spreadsheets/d/11923uPwbBZFjjGgGUA6NLw09EwE0CqkOc4q9oUmW1yo/edit?usp=sharing"",""พะเยา!I446"")"),0)</f>
        <v>0</v>
      </c>
      <c r="J551" s="408">
        <f ca="1">IFERROR(__xludf.DUMMYFUNCTION("IMPORTRANGE(""https://docs.google.com/spreadsheets/d/11923uPwbBZFjjGgGUA6NLw09EwE0CqkOc4q9oUmW1yo/edit?usp=sharing"",""พะเยา!J446"")"),0)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IFERROR(__xludf.DUMMYFUNCTION("IMPORTRANGE(""https://docs.google.com/spreadsheets/d/11923uPwbBZFjjGgGUA6NLw09EwE0CqkOc4q9oUmW1yo/edit?usp=sharing"",""พะเยา!L446"")"),0)</f>
        <v>0</v>
      </c>
      <c r="M551" s="410"/>
      <c r="N551" s="410">
        <f ca="1">IFERROR(__xludf.DUMMYFUNCTION("IMPORTRANGE(""https://docs.google.com/spreadsheets/d/11923uPwbBZFjjGgGUA6NLw09EwE0CqkOc4q9oUmW1yo/edit?usp=sharing"",""พะเยา!M446"")"),0)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IFERROR(__xludf.DUMMYFUNCTION("IMPORTRANGE(""https://docs.google.com/spreadsheets/d/11923uPwbBZFjjGgGUA6NLw09EwE0CqkOc4q9oUmW1yo/edit?usp=sharing"",""พะเยา!L447"")"),0)</f>
        <v>0</v>
      </c>
      <c r="M552" s="164"/>
      <c r="N552" s="168">
        <f ca="1">IFERROR(__xludf.DUMMYFUNCTION("IMPORTRANGE(""https://docs.google.com/spreadsheets/d/11923uPwbBZFjjGgGUA6NLw09EwE0CqkOc4q9oUmW1yo/edit?usp=sharing"",""พะเยา!M447"")"),0)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IFERROR(__xludf.DUMMYFUNCTION("IMPORTRANGE(""https://docs.google.com/spreadsheets/d/11923uPwbBZFjjGgGUA6NLw09EwE0CqkOc4q9oUmW1yo/edit?usp=sharing"",""พะเยา!L448"")"),0)</f>
        <v>0</v>
      </c>
      <c r="M553" s="165"/>
      <c r="N553" s="168">
        <f ca="1">IFERROR(__xludf.DUMMYFUNCTION("IMPORTRANGE(""https://docs.google.com/spreadsheets/d/11923uPwbBZFjjGgGUA6NLw09EwE0CqkOc4q9oUmW1yo/edit?usp=sharing"",""พะเยา!M448"")"),0)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IFERROR(__xludf.DUMMYFUNCTION("IMPORTRANGE(""https://docs.google.com/spreadsheets/d/11923uPwbBZFjjGgGUA6NLw09EwE0CqkOc4q9oUmW1yo/edit?usp=sharing"",""พะเยา!L449"")"),0)</f>
        <v>0</v>
      </c>
      <c r="M554" s="168"/>
      <c r="N554" s="168">
        <f ca="1">IFERROR(__xludf.DUMMYFUNCTION("IMPORTRANGE(""https://docs.google.com/spreadsheets/d/11923uPwbBZFjjGgGUA6NLw09EwE0CqkOc4q9oUmW1yo/edit?usp=sharing"",""พะเยา!M449"")"),0)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IFERROR(__xludf.DUMMYFUNCTION("IMPORTRANGE(""https://docs.google.com/spreadsheets/d/11923uPwbBZFjjGgGUA6NLw09EwE0CqkOc4q9oUmW1yo/edit?usp=sharing"",""พะเยา!L450"")"),0)</f>
        <v>0</v>
      </c>
      <c r="M555" s="168"/>
      <c r="N555" s="168">
        <f ca="1">IFERROR(__xludf.DUMMYFUNCTION("IMPORTRANGE(""https://docs.google.com/spreadsheets/d/11923uPwbBZFjjGgGUA6NLw09EwE0CqkOc4q9oUmW1yo/edit?usp=sharing"",""พะเยา!M450"")"),0)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IFERROR(__xludf.DUMMYFUNCTION("IMPORTRANGE(""https://docs.google.com/spreadsheets/d/11923uPwbBZFjjGgGUA6NLw09EwE0CqkOc4q9oUmW1yo/edit?usp=sharing"",""พะเยา!M451"")"),0)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IFERROR(__xludf.DUMMYFUNCTION("IMPORTRANGE(""https://docs.google.com/spreadsheets/d/11923uPwbBZFjjGgGUA6NLw09EwE0CqkOc4q9oUmW1yo/edit?usp=sharing"",""พะเยา!M452"")"),0)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IFERROR(__xludf.DUMMYFUNCTION("IMPORTRANGE(""https://docs.google.com/spreadsheets/d/11923uPwbBZFjjGgGUA6NLw09EwE0CqkOc4q9oUmW1yo/edit?usp=sharing"",""พะเยา!M453"")"),0)</f>
        <v>0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IFERROR(__xludf.DUMMYFUNCTION("IMPORTRANGE(""https://docs.google.com/spreadsheets/d/11923uPwbBZFjjGgGUA6NLw09EwE0CqkOc4q9oUmW1yo/edit?usp=sharing"",""พะเยา!M454"")"),0)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IFERROR(__xludf.DUMMYFUNCTION("IMPORTRANGE(""https://docs.google.com/spreadsheets/d/11923uPwbBZFjjGgGUA6NLw09EwE0CqkOc4q9oUmW1yo/edit?usp=sharing"",""พะเยา!I455"")"),0)</f>
        <v>0</v>
      </c>
      <c r="J560" s="162">
        <f ca="1">IFERROR(__xludf.DUMMYFUNCTION("IMPORTRANGE(""https://docs.google.com/spreadsheets/d/11923uPwbBZFjjGgGUA6NLw09EwE0CqkOc4q9oUmW1yo/edit?usp=sharing"",""พะเยา!J455"")"),0)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IFERROR(__xludf.DUMMYFUNCTION("IMPORTRANGE(""https://docs.google.com/spreadsheets/d/11923uPwbBZFjjGgGUA6NLw09EwE0CqkOc4q9oUmW1yo/edit?usp=sharing"",""พะเยา!I456"")"),0)</f>
        <v>0</v>
      </c>
      <c r="J561" s="203">
        <f ca="1">IFERROR(__xludf.DUMMYFUNCTION("IMPORTRANGE(""https://docs.google.com/spreadsheets/d/11923uPwbBZFjjGgGUA6NLw09EwE0CqkOc4q9oUmW1yo/edit?usp=sharing"",""พะเยา!J456"")"),0)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f ca="1">IFERROR(__xludf.DUMMYFUNCTION("IMPORTRANGE(""https://docs.google.com/spreadsheets/d/11923uPwbBZFjjGgGUA6NLw09EwE0CqkOc4q9oUmW1yo/edit?usp=sharing"",""พะเยา!I457"")"),0)</f>
        <v>0</v>
      </c>
      <c r="J562" s="203" t="str">
        <f ca="1">IFERROR(__xludf.DUMMYFUNCTION("IMPORTRANGE(""https://docs.google.com/spreadsheets/d/11923uPwbBZFjjGgGUA6NLw09EwE0CqkOc4q9oUmW1yo/edit?usp=sharing"",""พะเยา!J457"")"),"")</f>
        <v/>
      </c>
      <c r="K562" s="163">
        <f t="shared" ca="1" si="121"/>
        <v>0</v>
      </c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f ca="1">IFERROR(__xludf.DUMMYFUNCTION("IMPORTRANGE(""https://docs.google.com/spreadsheets/d/11923uPwbBZFjjGgGUA6NLw09EwE0CqkOc4q9oUmW1yo/edit?usp=sharing"",""พะเยา!I458"")"),0)</f>
        <v>0</v>
      </c>
      <c r="J563" s="187" t="str">
        <f ca="1">IFERROR(__xludf.DUMMYFUNCTION("IMPORTRANGE(""https://docs.google.com/spreadsheets/d/11923uPwbBZFjjGgGUA6NLw09EwE0CqkOc4q9oUmW1yo/edit?usp=sharing"",""พะเยา!J458"")"),"")</f>
        <v/>
      </c>
      <c r="K563" s="163">
        <f t="shared" ca="1" si="121"/>
        <v>0</v>
      </c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IFERROR(__xludf.DUMMYFUNCTION("IMPORTRANGE(""https://docs.google.com/spreadsheets/d/11923uPwbBZFjjGgGUA6NLw09EwE0CqkOc4q9oUmW1yo/edit?usp=sharing"",""พะเยา!I459"")"),1950)</f>
        <v>1950</v>
      </c>
      <c r="J564" s="369">
        <f ca="1">IFERROR(__xludf.DUMMYFUNCTION("IMPORTRANGE(""https://docs.google.com/spreadsheets/d/11923uPwbBZFjjGgGUA6NLw09EwE0CqkOc4q9oUmW1yo/edit?usp=sharing"",""พะเยา!J459"")"),1077)</f>
        <v>1077</v>
      </c>
      <c r="K564" s="370">
        <f t="shared" ca="1" si="121"/>
        <v>55.230769230769234</v>
      </c>
      <c r="L564" s="371">
        <f ca="1">IFERROR(__xludf.DUMMYFUNCTION("IMPORTRANGE(""https://docs.google.com/spreadsheets/d/11923uPwbBZFjjGgGUA6NLw09EwE0CqkOc4q9oUmW1yo/edit?usp=sharing"",""พะเยา!L459"")"),142240)</f>
        <v>142240</v>
      </c>
      <c r="M564" s="371"/>
      <c r="N564" s="371">
        <f ca="1">IFERROR(__xludf.DUMMYFUNCTION("IMPORTRANGE(""https://docs.google.com/spreadsheets/d/11923uPwbBZFjjGgGUA6NLw09EwE0CqkOc4q9oUmW1yo/edit?usp=sharing"",""พะเยา!M459"")"),41630)</f>
        <v>41630</v>
      </c>
      <c r="O564" s="371">
        <f t="shared" ref="O564:O568" ca="1" si="122">+IF(L564&gt;0,N564*100/L564,0)</f>
        <v>29.267435320584926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IFERROR(__xludf.DUMMYFUNCTION("IMPORTRANGE(""https://docs.google.com/spreadsheets/d/11923uPwbBZFjjGgGUA6NLw09EwE0CqkOc4q9oUmW1yo/edit?usp=sharing"",""พะเยา!L460"")"),0)</f>
        <v>0</v>
      </c>
      <c r="M565" s="164"/>
      <c r="N565" s="168">
        <f ca="1">IFERROR(__xludf.DUMMYFUNCTION("IMPORTRANGE(""https://docs.google.com/spreadsheets/d/11923uPwbBZFjjGgGUA6NLw09EwE0CqkOc4q9oUmW1yo/edit?usp=sharing"",""พะเยา!M460"")"),0)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IFERROR(__xludf.DUMMYFUNCTION("IMPORTRANGE(""https://docs.google.com/spreadsheets/d/11923uPwbBZFjjGgGUA6NLw09EwE0CqkOc4q9oUmW1yo/edit?usp=sharing"",""พะเยา!L461"")"),142240)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IFERROR(__xludf.DUMMYFUNCTION("IMPORTRANGE(""https://docs.google.com/spreadsheets/d/11923uPwbBZFjjGgGUA6NLw09EwE0CqkOc4q9oUmW1yo/edit?usp=sharing"",""พะเยา!M461"")"),41630)</f>
        <v>41630</v>
      </c>
      <c r="O566" s="168">
        <f t="shared" ca="1" si="122"/>
        <v>29.267435320584926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IFERROR(__xludf.DUMMYFUNCTION("IMPORTRANGE(""https://docs.google.com/spreadsheets/d/11923uPwbBZFjjGgGUA6NLw09EwE0CqkOc4q9oUmW1yo/edit?usp=sharing"",""พะเยา!L462"")"),0)</f>
        <v>0</v>
      </c>
      <c r="M567" s="168"/>
      <c r="N567" s="168">
        <f ca="1">IFERROR(__xludf.DUMMYFUNCTION("IMPORTRANGE(""https://docs.google.com/spreadsheets/d/11923uPwbBZFjjGgGUA6NLw09EwE0CqkOc4q9oUmW1yo/edit?usp=sharing"",""พะเยา!M462"")"),0)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IFERROR(__xludf.DUMMYFUNCTION("IMPORTRANGE(""https://docs.google.com/spreadsheets/d/11923uPwbBZFjjGgGUA6NLw09EwE0CqkOc4q9oUmW1yo/edit?usp=sharing"",""พะเยา!L463"")"),142240)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IFERROR(__xludf.DUMMYFUNCTION("IMPORTRANGE(""https://docs.google.com/spreadsheets/d/11923uPwbBZFjjGgGUA6NLw09EwE0CqkOc4q9oUmW1yo/edit?usp=sharing"",""พะเยา!M463"")"),41630)</f>
        <v>41630</v>
      </c>
      <c r="O568" s="168">
        <f t="shared" ca="1" si="122"/>
        <v>29.267435320584926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IFERROR(__xludf.DUMMYFUNCTION("IMPORTRANGE(""https://docs.google.com/spreadsheets/d/11923uPwbBZFjjGgGUA6NLw09EwE0CqkOc4q9oUmW1yo/edit?usp=sharing"",""พะเยา!M464"")"),0)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IFERROR(__xludf.DUMMYFUNCTION("IMPORTRANGE(""https://docs.google.com/spreadsheets/d/11923uPwbBZFjjGgGUA6NLw09EwE0CqkOc4q9oUmW1yo/edit?usp=sharing"",""พะเยา!M465"")"),0)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IFERROR(__xludf.DUMMYFUNCTION("IMPORTRANGE(""https://docs.google.com/spreadsheets/d/11923uPwbBZFjjGgGUA6NLw09EwE0CqkOc4q9oUmW1yo/edit?usp=sharing"",""พะเยา!M466"")"),21633)</f>
        <v>21633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IFERROR(__xludf.DUMMYFUNCTION("IMPORTRANGE(""https://docs.google.com/spreadsheets/d/11923uPwbBZFjjGgGUA6NLw09EwE0CqkOc4q9oUmW1yo/edit?usp=sharing"",""พะเยา!M467"")"),19997)</f>
        <v>19997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IFERROR(__xludf.DUMMYFUNCTION("IMPORTRANGE(""https://docs.google.com/spreadsheets/d/11923uPwbBZFjjGgGUA6NLw09EwE0CqkOc4q9oUmW1yo/edit?usp=sharing"",""พะเยา!I468"")"),1950)</f>
        <v>1950</v>
      </c>
      <c r="J573" s="418">
        <f ca="1">IFERROR(__xludf.DUMMYFUNCTION("IMPORTRANGE(""https://docs.google.com/spreadsheets/d/11923uPwbBZFjjGgGUA6NLw09EwE0CqkOc4q9oUmW1yo/edit?usp=sharing"",""พะเยา!J468"")"),1077)</f>
        <v>1077</v>
      </c>
      <c r="K573" s="201">
        <f ca="1">IF(I573&gt;0,J573*100/I573,0)</f>
        <v>55.230769230769234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IFERROR(__xludf.DUMMYFUNCTION("IMPORTRANGE(""https://docs.google.com/spreadsheets/d/11923uPwbBZFjjGgGUA6NLw09EwE0CqkOc4q9oUmW1yo/edit?usp=sharing"",""พะเยา!I470"")"),0)</f>
        <v>0</v>
      </c>
      <c r="J575" s="197">
        <f ca="1">IFERROR(__xludf.DUMMYFUNCTION("IMPORTRANGE(""https://docs.google.com/spreadsheets/d/11923uPwbBZFjjGgGUA6NLw09EwE0CqkOc4q9oUmW1yo/edit?usp=sharing"",""พะเยา!J470"")"),0)</f>
        <v>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IFERROR(__xludf.DUMMYFUNCTION("IMPORTRANGE(""https://docs.google.com/spreadsheets/d/11923uPwbBZFjjGgGUA6NLw09EwE0CqkOc4q9oUmW1yo/edit?usp=sharing"",""พะเยา!I471"")"),0)</f>
        <v>0</v>
      </c>
      <c r="J576" s="197">
        <f ca="1">IFERROR(__xludf.DUMMYFUNCTION("IMPORTRANGE(""https://docs.google.com/spreadsheets/d/11923uPwbBZFjjGgGUA6NLw09EwE0CqkOc4q9oUmW1yo/edit?usp=sharing"",""พะเยา!J471"")"),0)</f>
        <v>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IFERROR(__xludf.DUMMYFUNCTION("IMPORTRANGE(""https://docs.google.com/spreadsheets/d/11923uPwbBZFjjGgGUA6NLw09EwE0CqkOc4q9oUmW1yo/edit?usp=sharing"",""พะเยา!I472"")"),0)</f>
        <v>0</v>
      </c>
      <c r="J577" s="188">
        <f ca="1">IFERROR(__xludf.DUMMYFUNCTION("IMPORTRANGE(""https://docs.google.com/spreadsheets/d/11923uPwbBZFjjGgGUA6NLw09EwE0CqkOc4q9oUmW1yo/edit?usp=sharing"",""พะเยา!J472"")"),1077)</f>
        <v>1077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IFERROR(__xludf.DUMMYFUNCTION("IMPORTRANGE(""https://docs.google.com/spreadsheets/d/11923uPwbBZFjjGgGUA6NLw09EwE0CqkOc4q9oUmW1yo/edit?usp=sharing"",""พะเยา!I473"")"),0)</f>
        <v>0</v>
      </c>
      <c r="J578" s="197">
        <f ca="1">IFERROR(__xludf.DUMMYFUNCTION("IMPORTRANGE(""https://docs.google.com/spreadsheets/d/11923uPwbBZFjjGgGUA6NLw09EwE0CqkOc4q9oUmW1yo/edit?usp=sharing"",""พะเยา!J473"")"),0)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IFERROR(__xludf.DUMMYFUNCTION("IMPORTRANGE(""https://docs.google.com/spreadsheets/d/11923uPwbBZFjjGgGUA6NLw09EwE0CqkOc4q9oUmW1yo/edit?usp=sharing"",""พะเยา!I474"")"),0)</f>
        <v>0</v>
      </c>
      <c r="J579" s="197">
        <f ca="1">IFERROR(__xludf.DUMMYFUNCTION("IMPORTRANGE(""https://docs.google.com/spreadsheets/d/11923uPwbBZFjjGgGUA6NLw09EwE0CqkOc4q9oUmW1yo/edit?usp=sharing"",""พะเยา!J474"")"),0)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IFERROR(__xludf.DUMMYFUNCTION("IMPORTRANGE(""https://docs.google.com/spreadsheets/d/11923uPwbBZFjjGgGUA6NLw09EwE0CqkOc4q9oUmW1yo/edit?usp=sharing"",""พะเยา!I475"")"),40)</f>
        <v>40</v>
      </c>
      <c r="J580" s="369">
        <f ca="1">IFERROR(__xludf.DUMMYFUNCTION("IMPORTRANGE(""https://docs.google.com/spreadsheets/d/11923uPwbBZFjjGgGUA6NLw09EwE0CqkOc4q9oUmW1yo/edit?usp=sharing"",""พะเยา!J475"")"),6)</f>
        <v>6</v>
      </c>
      <c r="K580" s="370">
        <f ca="1">IF(I580&gt;0,J580*100/I580,0)</f>
        <v>15</v>
      </c>
      <c r="L580" s="371">
        <f ca="1">IFERROR(__xludf.DUMMYFUNCTION("IMPORTRANGE(""https://docs.google.com/spreadsheets/d/11923uPwbBZFjjGgGUA6NLw09EwE0CqkOc4q9oUmW1yo/edit?usp=sharing"",""พะเยา!L475"")"),138840)</f>
        <v>138840</v>
      </c>
      <c r="M580" s="371"/>
      <c r="N580" s="371">
        <f ca="1">IFERROR(__xludf.DUMMYFUNCTION("IMPORTRANGE(""https://docs.google.com/spreadsheets/d/11923uPwbBZFjjGgGUA6NLw09EwE0CqkOc4q9oUmW1yo/edit?usp=sharing"",""พะเยา!M475"")"),0)</f>
        <v>0</v>
      </c>
      <c r="O580" s="371">
        <f t="shared" ref="O580:O584" ca="1" si="124">+IF(L580&gt;0,N580*100/L580,0)</f>
        <v>0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IFERROR(__xludf.DUMMYFUNCTION("IMPORTRANGE(""https://docs.google.com/spreadsheets/d/11923uPwbBZFjjGgGUA6NLw09EwE0CqkOc4q9oUmW1yo/edit?usp=sharing"",""พะเยา!L476"")"),0)</f>
        <v>0</v>
      </c>
      <c r="M581" s="164"/>
      <c r="N581" s="168">
        <f ca="1">IFERROR(__xludf.DUMMYFUNCTION("IMPORTRANGE(""https://docs.google.com/spreadsheets/d/11923uPwbBZFjjGgGUA6NLw09EwE0CqkOc4q9oUmW1yo/edit?usp=sharing"",""พะเยา!M476"")"),0)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IFERROR(__xludf.DUMMYFUNCTION("IMPORTRANGE(""https://docs.google.com/spreadsheets/d/11923uPwbBZFjjGgGUA6NLw09EwE0CqkOc4q9oUmW1yo/edit?usp=sharing"",""พะเยา!L477"")"),138840)</f>
        <v>138840</v>
      </c>
      <c r="M582" s="165"/>
      <c r="N582" s="168">
        <f ca="1">IFERROR(__xludf.DUMMYFUNCTION("IMPORTRANGE(""https://docs.google.com/spreadsheets/d/11923uPwbBZFjjGgGUA6NLw09EwE0CqkOc4q9oUmW1yo/edit?usp=sharing"",""พะเยา!M477"")"),0)</f>
        <v>0</v>
      </c>
      <c r="O582" s="168">
        <f t="shared" ca="1" si="124"/>
        <v>0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IFERROR(__xludf.DUMMYFUNCTION("IMPORTRANGE(""https://docs.google.com/spreadsheets/d/11923uPwbBZFjjGgGUA6NLw09EwE0CqkOc4q9oUmW1yo/edit?usp=sharing"",""พะเยา!L478"")"),0)</f>
        <v>0</v>
      </c>
      <c r="M583" s="168"/>
      <c r="N583" s="168">
        <f ca="1">IFERROR(__xludf.DUMMYFUNCTION("IMPORTRANGE(""https://docs.google.com/spreadsheets/d/11923uPwbBZFjjGgGUA6NLw09EwE0CqkOc4q9oUmW1yo/edit?usp=sharing"",""พะเยา!M478"")"),0)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IFERROR(__xludf.DUMMYFUNCTION("IMPORTRANGE(""https://docs.google.com/spreadsheets/d/11923uPwbBZFjjGgGUA6NLw09EwE0CqkOc4q9oUmW1yo/edit?usp=sharing"",""พะเยา!L479"")"),138840)</f>
        <v>138840</v>
      </c>
      <c r="M584" s="168"/>
      <c r="N584" s="168">
        <f ca="1">IFERROR(__xludf.DUMMYFUNCTION("IMPORTRANGE(""https://docs.google.com/spreadsheets/d/11923uPwbBZFjjGgGUA6NLw09EwE0CqkOc4q9oUmW1yo/edit?usp=sharing"",""พะเยา!M479"")"),0)</f>
        <v>0</v>
      </c>
      <c r="O584" s="168">
        <f t="shared" ca="1" si="124"/>
        <v>0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IFERROR(__xludf.DUMMYFUNCTION("IMPORTRANGE(""https://docs.google.com/spreadsheets/d/11923uPwbBZFjjGgGUA6NLw09EwE0CqkOc4q9oUmW1yo/edit?usp=sharing"",""พะเยา!M480"")"),0)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IFERROR(__xludf.DUMMYFUNCTION("IMPORTRANGE(""https://docs.google.com/spreadsheets/d/11923uPwbBZFjjGgGUA6NLw09EwE0CqkOc4q9oUmW1yo/edit?usp=sharing"",""พะเยา!M481"")"),0)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IFERROR(__xludf.DUMMYFUNCTION("IMPORTRANGE(""https://docs.google.com/spreadsheets/d/11923uPwbBZFjjGgGUA6NLw09EwE0CqkOc4q9oUmW1yo/edit?usp=sharing"",""พะเยา!M482"")"),0)</f>
        <v>0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IFERROR(__xludf.DUMMYFUNCTION("IMPORTRANGE(""https://docs.google.com/spreadsheets/d/11923uPwbBZFjjGgGUA6NLw09EwE0CqkOc4q9oUmW1yo/edit?usp=sharing"",""พะเยา!M483"")"),0)</f>
        <v>0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IFERROR(__xludf.DUMMYFUNCTION("IMPORTRANGE(""https://docs.google.com/spreadsheets/d/11923uPwbBZFjjGgGUA6NLw09EwE0CqkOc4q9oUmW1yo/edit?usp=sharing"",""พะเยา!I484"")"),40)</f>
        <v>40</v>
      </c>
      <c r="J589" s="187">
        <f ca="1">IFERROR(__xludf.DUMMYFUNCTION("IMPORTRANGE(""https://docs.google.com/spreadsheets/d/11923uPwbBZFjjGgGUA6NLw09EwE0CqkOc4q9oUmW1yo/edit?usp=sharing"",""พะเยา!J484"")"),0)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IFERROR(__xludf.DUMMYFUNCTION("IMPORTRANGE(""https://docs.google.com/spreadsheets/d/11923uPwbBZFjjGgGUA6NLw09EwE0CqkOc4q9oUmW1yo/edit?usp=sharing"",""พะเยา!I485"")"),0)</f>
        <v>0</v>
      </c>
      <c r="J590" s="187">
        <f ca="1">IFERROR(__xludf.DUMMYFUNCTION("IMPORTRANGE(""https://docs.google.com/spreadsheets/d/11923uPwbBZFjjGgGUA6NLw09EwE0CqkOc4q9oUmW1yo/edit?usp=sharing"",""พะเยา!J485"")"),0)</f>
        <v>0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IFERROR(__xludf.DUMMYFUNCTION("IMPORTRANGE(""https://docs.google.com/spreadsheets/d/11923uPwbBZFjjGgGUA6NLw09EwE0CqkOc4q9oUmW1yo/edit?usp=sharing"",""พะเยา!I486"")"),40)</f>
        <v>40</v>
      </c>
      <c r="J591" s="187">
        <f ca="1">IFERROR(__xludf.DUMMYFUNCTION("IMPORTRANGE(""https://docs.google.com/spreadsheets/d/11923uPwbBZFjjGgGUA6NLw09EwE0CqkOc4q9oUmW1yo/edit?usp=sharing"",""พะเยา!J486"")"),6)</f>
        <v>6</v>
      </c>
      <c r="K591" s="163">
        <f t="shared" ca="1" si="125"/>
        <v>15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IFERROR(__xludf.DUMMYFUNCTION("IMPORTRANGE(""https://docs.google.com/spreadsheets/d/11923uPwbBZFjjGgGUA6NLw09EwE0CqkOc4q9oUmW1yo/edit?usp=sharing"",""พะเยา!I487"")"),0)</f>
        <v>0</v>
      </c>
      <c r="J592" s="187">
        <f ca="1">IFERROR(__xludf.DUMMYFUNCTION("IMPORTRANGE(""https://docs.google.com/spreadsheets/d/11923uPwbBZFjjGgGUA6NLw09EwE0CqkOc4q9oUmW1yo/edit?usp=sharing"",""พะเยา!J487"")"),3.48)</f>
        <v>3.48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IFERROR(__xludf.DUMMYFUNCTION("IMPORTRANGE(""https://docs.google.com/spreadsheets/d/11923uPwbBZFjjGgGUA6NLw09EwE0CqkOc4q9oUmW1yo/edit?usp=sharing"",""พะเยา!I488"")"),40)</f>
        <v>40</v>
      </c>
      <c r="J593" s="187">
        <f ca="1">IFERROR(__xludf.DUMMYFUNCTION("IMPORTRANGE(""https://docs.google.com/spreadsheets/d/11923uPwbBZFjjGgGUA6NLw09EwE0CqkOc4q9oUmW1yo/edit?usp=sharing"",""พะเยา!J488"")"),0)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IFERROR(__xludf.DUMMYFUNCTION("IMPORTRANGE(""https://docs.google.com/spreadsheets/d/11923uPwbBZFjjGgGUA6NLw09EwE0CqkOc4q9oUmW1yo/edit?usp=sharing"",""พะเยา!I489"")"),0)</f>
        <v>0</v>
      </c>
      <c r="J594" s="187">
        <f ca="1">IFERROR(__xludf.DUMMYFUNCTION("IMPORTRANGE(""https://docs.google.com/spreadsheets/d/11923uPwbBZFjjGgGUA6NLw09EwE0CqkOc4q9oUmW1yo/edit?usp=sharing"",""พะเยา!J489"")"),0)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IFERROR(__xludf.DUMMYFUNCTION("IMPORTRANGE(""https://docs.google.com/spreadsheets/d/11923uPwbBZFjjGgGUA6NLw09EwE0CqkOc4q9oUmW1yo/edit?usp=sharing"",""พะเยา!I490"")"),40)</f>
        <v>40</v>
      </c>
      <c r="J595" s="187">
        <f ca="1">IFERROR(__xludf.DUMMYFUNCTION("IMPORTRANGE(""https://docs.google.com/spreadsheets/d/11923uPwbBZFjjGgGUA6NLw09EwE0CqkOc4q9oUmW1yo/edit?usp=sharing"",""พะเยา!J490"")"),6)</f>
        <v>6</v>
      </c>
      <c r="K595" s="163">
        <f t="shared" ca="1" si="125"/>
        <v>15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IFERROR(__xludf.DUMMYFUNCTION("IMPORTRANGE(""https://docs.google.com/spreadsheets/d/11923uPwbBZFjjGgGUA6NLw09EwE0CqkOc4q9oUmW1yo/edit?usp=sharing"",""พะเยา!I491"")"),0)</f>
        <v>0</v>
      </c>
      <c r="J596" s="240">
        <f ca="1">IFERROR(__xludf.DUMMYFUNCTION("IMPORTRANGE(""https://docs.google.com/spreadsheets/d/11923uPwbBZFjjGgGUA6NLw09EwE0CqkOc4q9oUmW1yo/edit?usp=sharing"",""พะเยา!J491"")"),3.48)</f>
        <v>3.48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IFERROR(__xludf.DUMMYFUNCTION("IMPORTRANGE(""https://docs.google.com/spreadsheets/d/11923uPwbBZFjjGgGUA6NLw09EwE0CqkOc4q9oUmW1yo/edit?usp=sharing"",""พะเยา!I492"")"),150)</f>
        <v>150</v>
      </c>
      <c r="J597" s="485">
        <f ca="1">IFERROR(__xludf.DUMMYFUNCTION("IMPORTRANGE(""https://docs.google.com/spreadsheets/d/11923uPwbBZFjjGgGUA6NLw09EwE0CqkOc4q9oUmW1yo/edit?usp=sharing"",""พะเยา!J492"")"),0)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IFERROR(__xludf.DUMMYFUNCTION("IMPORTRANGE(""https://docs.google.com/spreadsheets/d/11923uPwbBZFjjGgGUA6NLw09EwE0CqkOc4q9oUmW1yo/edit?usp=sharing"",""พะเยา!L492"")"),14050)</f>
        <v>14050</v>
      </c>
      <c r="M597" s="410"/>
      <c r="N597" s="410">
        <f ca="1">IFERROR(__xludf.DUMMYFUNCTION("IMPORTRANGE(""https://docs.google.com/spreadsheets/d/11923uPwbBZFjjGgGUA6NLw09EwE0CqkOc4q9oUmW1yo/edit?usp=sharing"",""พะเยา!M492"")"),0)</f>
        <v>0</v>
      </c>
      <c r="O597" s="410">
        <f t="shared" ref="O597:O601" ca="1" si="126">+IF(L597&gt;0,N597*100/L597,0)</f>
        <v>0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IFERROR(__xludf.DUMMYFUNCTION("IMPORTRANGE(""https://docs.google.com/spreadsheets/d/11923uPwbBZFjjGgGUA6NLw09EwE0CqkOc4q9oUmW1yo/edit?usp=sharing"",""พะเยา!L493"")"),0)</f>
        <v>0</v>
      </c>
      <c r="M598" s="164"/>
      <c r="N598" s="168">
        <f ca="1">IFERROR(__xludf.DUMMYFUNCTION("IMPORTRANGE(""https://docs.google.com/spreadsheets/d/11923uPwbBZFjjGgGUA6NLw09EwE0CqkOc4q9oUmW1yo/edit?usp=sharing"",""พะเยา!M493"")"),0)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IFERROR(__xludf.DUMMYFUNCTION("IMPORTRANGE(""https://docs.google.com/spreadsheets/d/11923uPwbBZFjjGgGUA6NLw09EwE0CqkOc4q9oUmW1yo/edit?usp=sharing"",""พะเยา!L494"")"),14050)</f>
        <v>14050</v>
      </c>
      <c r="M599" s="165"/>
      <c r="N599" s="168">
        <f ca="1">IFERROR(__xludf.DUMMYFUNCTION("IMPORTRANGE(""https://docs.google.com/spreadsheets/d/11923uPwbBZFjjGgGUA6NLw09EwE0CqkOc4q9oUmW1yo/edit?usp=sharing"",""พะเยา!M494"")"),0)</f>
        <v>0</v>
      </c>
      <c r="O599" s="168">
        <f t="shared" ca="1" si="126"/>
        <v>0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IFERROR(__xludf.DUMMYFUNCTION("IMPORTRANGE(""https://docs.google.com/spreadsheets/d/11923uPwbBZFjjGgGUA6NLw09EwE0CqkOc4q9oUmW1yo/edit?usp=sharing"",""พะเยา!L495"")"),0)</f>
        <v>0</v>
      </c>
      <c r="M600" s="168"/>
      <c r="N600" s="168">
        <f ca="1">IFERROR(__xludf.DUMMYFUNCTION("IMPORTRANGE(""https://docs.google.com/spreadsheets/d/11923uPwbBZFjjGgGUA6NLw09EwE0CqkOc4q9oUmW1yo/edit?usp=sharing"",""พะเยา!M495"")"),0)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IFERROR(__xludf.DUMMYFUNCTION("IMPORTRANGE(""https://docs.google.com/spreadsheets/d/11923uPwbBZFjjGgGUA6NLw09EwE0CqkOc4q9oUmW1yo/edit?usp=sharing"",""พะเยา!L496"")"),14050)</f>
        <v>14050</v>
      </c>
      <c r="M601" s="168"/>
      <c r="N601" s="168">
        <f ca="1">IFERROR(__xludf.DUMMYFUNCTION("IMPORTRANGE(""https://docs.google.com/spreadsheets/d/11923uPwbBZFjjGgGUA6NLw09EwE0CqkOc4q9oUmW1yo/edit?usp=sharing"",""พะเยา!M496"")"),0)</f>
        <v>0</v>
      </c>
      <c r="O601" s="168">
        <f t="shared" ca="1" si="126"/>
        <v>0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IFERROR(__xludf.DUMMYFUNCTION("IMPORTRANGE(""https://docs.google.com/spreadsheets/d/11923uPwbBZFjjGgGUA6NLw09EwE0CqkOc4q9oUmW1yo/edit?usp=sharing"",""พะเยา!M497"")"),0)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IFERROR(__xludf.DUMMYFUNCTION("IMPORTRANGE(""https://docs.google.com/spreadsheets/d/11923uPwbBZFjjGgGUA6NLw09EwE0CqkOc4q9oUmW1yo/edit?usp=sharing"",""พะเยา!M498"")"),0)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IFERROR(__xludf.DUMMYFUNCTION("IMPORTRANGE(""https://docs.google.com/spreadsheets/d/11923uPwbBZFjjGgGUA6NLw09EwE0CqkOc4q9oUmW1yo/edit?usp=sharing"",""พะเยา!M499"")"),0)</f>
        <v>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IFERROR(__xludf.DUMMYFUNCTION("IMPORTRANGE(""https://docs.google.com/spreadsheets/d/11923uPwbBZFjjGgGUA6NLw09EwE0CqkOc4q9oUmW1yo/edit?usp=sharing"",""พะเยา!M500"")"),0)</f>
        <v>0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IFERROR(__xludf.DUMMYFUNCTION("IMPORTRANGE(""https://docs.google.com/spreadsheets/d/11923uPwbBZFjjGgGUA6NLw09EwE0CqkOc4q9oUmW1yo/edit?usp=sharing"",""พะเยา!J502"")"),0)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IFERROR(__xludf.DUMMYFUNCTION("IMPORTRANGE(""https://docs.google.com/spreadsheets/d/11923uPwbBZFjjGgGUA6NLw09EwE0CqkOc4q9oUmW1yo/edit?usp=sharing"",""พะเยา!J503"")"),1)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IFERROR(__xludf.DUMMYFUNCTION("IMPORTRANGE(""https://docs.google.com/spreadsheets/d/11923uPwbBZFjjGgGUA6NLw09EwE0CqkOc4q9oUmW1yo/edit?usp=sharing"",""พะเยา!J166"")"),0)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IFERROR(__xludf.DUMMYFUNCTION("IMPORTRANGE(""https://docs.google.com/spreadsheets/d/11923uPwbBZFjjGgGUA6NLw09EwE0CqkOc4q9oUmW1yo/edit?usp=sharing"",""พะเยา!J166"")"),0)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IFERROR(__xludf.DUMMYFUNCTION("IMPORTRANGE(""https://docs.google.com/spreadsheets/d/11923uPwbBZFjjGgGUA6NLw09EwE0CqkOc4q9oUmW1yo/edit?usp=sharing"",""พะเยา!I506"")"),150)</f>
        <v>150</v>
      </c>
      <c r="J611" s="162">
        <f ca="1">IFERROR(__xludf.DUMMYFUNCTION("IMPORTRANGE(""https://docs.google.com/spreadsheets/d/11923uPwbBZFjjGgGUA6NLw09EwE0CqkOc4q9oUmW1yo/edit?usp=sharing"",""พะเยา!J506"")"),0)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IFERROR(__xludf.DUMMYFUNCTION("IMPORTRANGE(""https://docs.google.com/spreadsheets/d/11923uPwbBZFjjGgGUA6NLw09EwE0CqkOc4q9oUmW1yo/edit?usp=sharing"",""พะเยา!I507"")"),0)</f>
        <v>0</v>
      </c>
      <c r="J612" s="197">
        <f ca="1">IFERROR(__xludf.DUMMYFUNCTION("IMPORTRANGE(""https://docs.google.com/spreadsheets/d/11923uPwbBZFjjGgGUA6NLw09EwE0CqkOc4q9oUmW1yo/edit?usp=sharing"",""พะเยา!J507"")"),0)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IFERROR(__xludf.DUMMYFUNCTION("IMPORTRANGE(""https://docs.google.com/spreadsheets/d/11923uPwbBZFjjGgGUA6NLw09EwE0CqkOc4q9oUmW1yo/edit?usp=sharing"",""พะเยา!I508"")"),0)</f>
        <v>0</v>
      </c>
      <c r="J613" s="197">
        <f ca="1">IFERROR(__xludf.DUMMYFUNCTION("IMPORTRANGE(""https://docs.google.com/spreadsheets/d/11923uPwbBZFjjGgGUA6NLw09EwE0CqkOc4q9oUmW1yo/edit?usp=sharing"",""พะเยา!J508"")"),0)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IFERROR(__xludf.DUMMYFUNCTION("IMPORTRANGE(""https://docs.google.com/spreadsheets/d/11923uPwbBZFjjGgGUA6NLw09EwE0CqkOc4q9oUmW1yo/edit?usp=sharing"",""พะเยา!I509"")"),0)</f>
        <v>0</v>
      </c>
      <c r="J614" s="197">
        <f ca="1">IFERROR(__xludf.DUMMYFUNCTION("IMPORTRANGE(""https://docs.google.com/spreadsheets/d/11923uPwbBZFjjGgGUA6NLw09EwE0CqkOc4q9oUmW1yo/edit?usp=sharing"",""พะเยา!J509"")"),0)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IFERROR(__xludf.DUMMYFUNCTION("IMPORTRANGE(""https://docs.google.com/spreadsheets/d/11923uPwbBZFjjGgGUA6NLw09EwE0CqkOc4q9oUmW1yo/edit?usp=sharing"",""พะเยา!I510"")"),0)</f>
        <v>0</v>
      </c>
      <c r="J615" s="197">
        <f ca="1">IFERROR(__xludf.DUMMYFUNCTION("IMPORTRANGE(""https://docs.google.com/spreadsheets/d/11923uPwbBZFjjGgGUA6NLw09EwE0CqkOc4q9oUmW1yo/edit?usp=sharing"",""พะเยา!J510"")"),0)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IFERROR(__xludf.DUMMYFUNCTION("IMPORTRANGE(""https://docs.google.com/spreadsheets/d/11923uPwbBZFjjGgGUA6NLw09EwE0CqkOc4q9oUmW1yo/edit?usp=sharing"",""พะเยา!I511"")"),0)</f>
        <v>0</v>
      </c>
      <c r="J616" s="197">
        <f ca="1">IFERROR(__xludf.DUMMYFUNCTION("IMPORTRANGE(""https://docs.google.com/spreadsheets/d/11923uPwbBZFjjGgGUA6NLw09EwE0CqkOc4q9oUmW1yo/edit?usp=sharing"",""พะเยา!J511"")"),0)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IFERROR(__xludf.DUMMYFUNCTION("IMPORTRANGE(""https://docs.google.com/spreadsheets/d/11923uPwbBZFjjGgGUA6NLw09EwE0CqkOc4q9oUmW1yo/edit?usp=sharing"",""พะเยา!I512"")"),0)</f>
        <v>0</v>
      </c>
      <c r="J617" s="187">
        <f ca="1">IFERROR(__xludf.DUMMYFUNCTION("IMPORTRANGE(""https://docs.google.com/spreadsheets/d/11923uPwbBZFjjGgGUA6NLw09EwE0CqkOc4q9oUmW1yo/edit?usp=sharing"",""พะเยา!J512"")"),0)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IFERROR(__xludf.DUMMYFUNCTION("IMPORTRANGE(""https://docs.google.com/spreadsheets/d/11923uPwbBZFjjGgGUA6NLw09EwE0CqkOc4q9oUmW1yo/edit?usp=sharing"",""พะเยา!I513"")"),0)</f>
        <v>0</v>
      </c>
      <c r="J618" s="188">
        <f ca="1">IFERROR(__xludf.DUMMYFUNCTION("IMPORTRANGE(""https://docs.google.com/spreadsheets/d/11923uPwbBZFjjGgGUA6NLw09EwE0CqkOc4q9oUmW1yo/edit?usp=sharing"",""พะเยา!J513"")"),0)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IFERROR(__xludf.DUMMYFUNCTION("IMPORTRANGE(""https://docs.google.com/spreadsheets/d/11923uPwbBZFjjGgGUA6NLw09EwE0CqkOc4q9oUmW1yo/edit?usp=sharing"",""พะเยา!I514"")"),0)</f>
        <v>0</v>
      </c>
      <c r="J619" s="188">
        <f ca="1">IFERROR(__xludf.DUMMYFUNCTION("IMPORTRANGE(""https://docs.google.com/spreadsheets/d/11923uPwbBZFjjGgGUA6NLw09EwE0CqkOc4q9oUmW1yo/edit?usp=sharing"",""พะเยา!J514"")"),0)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IFERROR(__xludf.DUMMYFUNCTION("IMPORTRANGE(""https://docs.google.com/spreadsheets/d/11923uPwbBZFjjGgGUA6NLw09EwE0CqkOc4q9oUmW1yo/edit?usp=sharing"",""พะเยา!I515"")"),0)</f>
        <v>0</v>
      </c>
      <c r="J620" s="202">
        <f ca="1">IFERROR(__xludf.DUMMYFUNCTION("IMPORTRANGE(""https://docs.google.com/spreadsheets/d/11923uPwbBZFjjGgGUA6NLw09EwE0CqkOc4q9oUmW1yo/edit?usp=sharing"",""พะเยา!J515"")"),0)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IFERROR(__xludf.DUMMYFUNCTION("IMPORTRANGE(""https://docs.google.com/spreadsheets/d/11923uPwbBZFjjGgGUA6NLw09EwE0CqkOc4q9oUmW1yo/edit?usp=sharing"",""พะเยา!I516"")"),0)</f>
        <v>0</v>
      </c>
      <c r="J621" s="202">
        <f ca="1">IFERROR(__xludf.DUMMYFUNCTION("IMPORTRANGE(""https://docs.google.com/spreadsheets/d/11923uPwbBZFjjGgGUA6NLw09EwE0CqkOc4q9oUmW1yo/edit?usp=sharing"",""พะเยา!J516"")"),0)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IFERROR(__xludf.DUMMYFUNCTION("IMPORTRANGE(""https://docs.google.com/spreadsheets/d/11923uPwbBZFjjGgGUA6NLw09EwE0CqkOc4q9oUmW1yo/edit?usp=sharing"",""พะเยา!I517"")"),0)</f>
        <v>0</v>
      </c>
      <c r="J622" s="188">
        <f ca="1">IFERROR(__xludf.DUMMYFUNCTION("IMPORTRANGE(""https://docs.google.com/spreadsheets/d/11923uPwbBZFjjGgGUA6NLw09EwE0CqkOc4q9oUmW1yo/edit?usp=sharing"",""พะเยา!J517"")"),0)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IFERROR(__xludf.DUMMYFUNCTION("IMPORTRANGE(""https://docs.google.com/spreadsheets/d/11923uPwbBZFjjGgGUA6NLw09EwE0CqkOc4q9oUmW1yo/edit?usp=sharing"",""พะเยา!I518"")"),0)</f>
        <v>0</v>
      </c>
      <c r="J623" s="188">
        <f ca="1">IFERROR(__xludf.DUMMYFUNCTION("IMPORTRANGE(""https://docs.google.com/spreadsheets/d/11923uPwbBZFjjGgGUA6NLw09EwE0CqkOc4q9oUmW1yo/edit?usp=sharing"",""พะเยา!J518"")"),0)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IFERROR(__xludf.DUMMYFUNCTION("IMPORTRANGE(""https://docs.google.com/spreadsheets/d/11923uPwbBZFjjGgGUA6NLw09EwE0CqkOc4q9oUmW1yo/edit?usp=sharing"",""พะเยา!I519"")"),0)</f>
        <v>0</v>
      </c>
      <c r="J624" s="187">
        <f ca="1">IFERROR(__xludf.DUMMYFUNCTION("IMPORTRANGE(""https://docs.google.com/spreadsheets/d/11923uPwbBZFjjGgGUA6NLw09EwE0CqkOc4q9oUmW1yo/edit?usp=sharing"",""พะเยา!J519"")"),0)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IFERROR(__xludf.DUMMYFUNCTION("IMPORTRANGE(""https://docs.google.com/spreadsheets/d/11923uPwbBZFjjGgGUA6NLw09EwE0CqkOc4q9oUmW1yo/edit?usp=sharing"",""พะเยา!I520"")"),0)</f>
        <v>0</v>
      </c>
      <c r="J625" s="188">
        <f ca="1">IFERROR(__xludf.DUMMYFUNCTION("IMPORTRANGE(""https://docs.google.com/spreadsheets/d/11923uPwbBZFjjGgGUA6NLw09EwE0CqkOc4q9oUmW1yo/edit?usp=sharing"",""พะเยา!J520"")"),0)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IFERROR(__xludf.DUMMYFUNCTION("IMPORTRANGE(""https://docs.google.com/spreadsheets/d/11923uPwbBZFjjGgGUA6NLw09EwE0CqkOc4q9oUmW1yo/edit?usp=sharing"",""พะเยา!I521"")"),0)</f>
        <v>0</v>
      </c>
      <c r="J626" s="188">
        <f ca="1">IFERROR(__xludf.DUMMYFUNCTION("IMPORTRANGE(""https://docs.google.com/spreadsheets/d/11923uPwbBZFjjGgGUA6NLw09EwE0CqkOc4q9oUmW1yo/edit?usp=sharing"",""พะเยา!J521"")"),0)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IFERROR(__xludf.DUMMYFUNCTION("IMPORTRANGE(""https://docs.google.com/spreadsheets/d/11923uPwbBZFjjGgGUA6NLw09EwE0CqkOc4q9oUmW1yo/edit?usp=sharing"",""พะเยา!I523"")"),4799661.59)</f>
        <v>4799661.59</v>
      </c>
      <c r="J628" s="339">
        <f ca="1">IFERROR(__xludf.DUMMYFUNCTION("IMPORTRANGE(""https://docs.google.com/spreadsheets/d/11923uPwbBZFjjGgGUA6NLw09EwE0CqkOc4q9oUmW1yo/edit?usp=sharing"",""พะเยา!J523"")"),1526509.46)</f>
        <v>1526509.46</v>
      </c>
      <c r="K628" s="340">
        <f t="shared" ref="K628:K635" ca="1" si="129">IF(I628&gt;0,J628*100/I628,0)</f>
        <v>31.804522701776566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IFERROR(__xludf.DUMMYFUNCTION("IMPORTRANGE(""https://docs.google.com/spreadsheets/d/11923uPwbBZFjjGgGUA6NLw09EwE0CqkOc4q9oUmW1yo/edit?usp=sharing"",""พะเยา!I524"")"),454)</f>
        <v>454</v>
      </c>
      <c r="J629" s="339">
        <f ca="1">IFERROR(__xludf.DUMMYFUNCTION("IMPORTRANGE(""https://docs.google.com/spreadsheets/d/11923uPwbBZFjjGgGUA6NLw09EwE0CqkOc4q9oUmW1yo/edit?usp=sharing"",""พะเยา!J524"")"),150)</f>
        <v>150</v>
      </c>
      <c r="K629" s="340">
        <f t="shared" ca="1" si="129"/>
        <v>33.039647577092509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39">
        <f ca="1">IFERROR(__xludf.DUMMYFUNCTION("IMPORTRANGE(""https://docs.google.com/spreadsheets/d/11923uPwbBZFjjGgGUA6NLw09EwE0CqkOc4q9oUmW1yo/edit?usp=sharing"",""พะเยา!J525"")"),303618.44)</f>
        <v>303618.44</v>
      </c>
      <c r="K630" s="340">
        <f t="shared" ca="1" si="129"/>
        <v>3.0605696755849734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IFERROR(__xludf.DUMMYFUNCTION("IMPORTRANGE(""https://docs.google.com/spreadsheets/d/11923uPwbBZFjjGgGUA6NLw09EwE0CqkOc4q9oUmW1yo/edit?usp=sharing"",""พะเยา!I526"")"),332)</f>
        <v>332</v>
      </c>
      <c r="J631" s="339">
        <f ca="1">IFERROR(__xludf.DUMMYFUNCTION("IMPORTRANGE(""https://docs.google.com/spreadsheets/d/11923uPwbBZFjjGgGUA6NLw09EwE0CqkOc4q9oUmW1yo/edit?usp=sharing"",""พะเยา!J526"")"),73)</f>
        <v>73</v>
      </c>
      <c r="K631" s="340">
        <f t="shared" ca="1" si="129"/>
        <v>21.987951807228917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IFERROR(__xludf.DUMMYFUNCTION("IMPORTRANGE(""https://docs.google.com/spreadsheets/d/11923uPwbBZFjjGgGUA6NLw09EwE0CqkOc4q9oUmW1yo/edit?usp=sharing"",""พะเยา!I527"")"),61819.65)</f>
        <v>61819.65</v>
      </c>
      <c r="J632" s="339">
        <f ca="1">IFERROR(__xludf.DUMMYFUNCTION("IMPORTRANGE(""https://docs.google.com/spreadsheets/d/11923uPwbBZFjjGgGUA6NLw09EwE0CqkOc4q9oUmW1yo/edit?usp=sharing"",""พะเยา!J527"")"),0)</f>
        <v>0</v>
      </c>
      <c r="K632" s="340">
        <f t="shared" ca="1" si="129"/>
        <v>0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IFERROR(__xludf.DUMMYFUNCTION("IMPORTRANGE(""https://docs.google.com/spreadsheets/d/11923uPwbBZFjjGgGUA6NLw09EwE0CqkOc4q9oUmW1yo/edit?usp=sharing"",""พะเยา!I528"")"),107)</f>
        <v>107</v>
      </c>
      <c r="J633" s="339">
        <f ca="1">IFERROR(__xludf.DUMMYFUNCTION("IMPORTRANGE(""https://docs.google.com/spreadsheets/d/11923uPwbBZFjjGgGUA6NLw09EwE0CqkOc4q9oUmW1yo/edit?usp=sharing"",""พะเยา!J528"")"),0)</f>
        <v>0</v>
      </c>
      <c r="K633" s="340">
        <f t="shared" ca="1" si="129"/>
        <v>0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IFERROR(__xludf.DUMMYFUNCTION("IMPORTRANGE(""https://docs.google.com/spreadsheets/d/11923uPwbBZFjjGgGUA6NLw09EwE0CqkOc4q9oUmW1yo/edit?usp=sharing"",""พะเยา!I529"")"),6000000)</f>
        <v>6000000</v>
      </c>
      <c r="J634" s="339">
        <f ca="1">IFERROR(__xludf.DUMMYFUNCTION("IMPORTRANGE(""https://docs.google.com/spreadsheets/d/11923uPwbBZFjjGgGUA6NLw09EwE0CqkOc4q9oUmW1yo/edit?usp=sharing"",""พะเยา!J529"")"),0)</f>
        <v>0</v>
      </c>
      <c r="K634" s="340">
        <f t="shared" ca="1" si="129"/>
        <v>0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IFERROR(__xludf.DUMMYFUNCTION("IMPORTRANGE(""https://docs.google.com/spreadsheets/d/11923uPwbBZFjjGgGUA6NLw09EwE0CqkOc4q9oUmW1yo/edit?usp=sharing"",""พะเยา!I530"")"),120)</f>
        <v>120</v>
      </c>
      <c r="J635" s="502">
        <f ca="1">IFERROR(__xludf.DUMMYFUNCTION("IMPORTRANGE(""https://docs.google.com/spreadsheets/d/11923uPwbBZFjjGgGUA6NLw09EwE0CqkOc4q9oUmW1yo/edit?usp=sharing"",""พะเยา!J530"")"),0)</f>
        <v>0</v>
      </c>
      <c r="K635" s="484">
        <f t="shared" ca="1" si="129"/>
        <v>0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78.54296875" customWidth="1"/>
    <col min="8" max="8" width="10.81640625" customWidth="1"/>
    <col min="9" max="10" width="13.90625" bestFit="1" customWidth="1"/>
    <col min="11" max="11" width="11" bestFit="1" customWidth="1"/>
    <col min="12" max="13" width="20.08984375" customWidth="1"/>
    <col min="14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5">
      <c r="A2" s="512" t="s">
        <v>252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5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5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4615912</v>
      </c>
      <c r="M8" s="23">
        <f t="shared" ca="1" si="0"/>
        <v>1404555</v>
      </c>
      <c r="N8" s="23">
        <f t="shared" ca="1" si="0"/>
        <v>1457802.33</v>
      </c>
      <c r="O8" s="22">
        <f t="shared" ref="O8:O16" ca="1" si="1">IF(L8&gt;0,N8*100/L8,0)</f>
        <v>31.582108367750511</v>
      </c>
      <c r="P8" s="22">
        <f t="shared" ref="P8:P16" ca="1" si="2">IF(M8&gt;0,N8*100/M8,0)</f>
        <v>103.79104627444279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4615912</v>
      </c>
      <c r="M10" s="30">
        <f t="shared" ca="1" si="4"/>
        <v>1404555</v>
      </c>
      <c r="N10" s="30">
        <f t="shared" ca="1" si="4"/>
        <v>1457802.33</v>
      </c>
      <c r="O10" s="29">
        <f t="shared" ca="1" si="1"/>
        <v>31.582108367750511</v>
      </c>
      <c r="P10" s="29">
        <f t="shared" ca="1" si="2"/>
        <v>103.79104627444279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4540312</v>
      </c>
      <c r="M12" s="38">
        <f t="shared" ca="1" si="6"/>
        <v>1328955</v>
      </c>
      <c r="N12" s="38">
        <f t="shared" ca="1" si="6"/>
        <v>1382202.33</v>
      </c>
      <c r="O12" s="38">
        <f t="shared" ca="1" si="1"/>
        <v>30.442893131573335</v>
      </c>
      <c r="P12" s="38">
        <f t="shared" ca="1" si="2"/>
        <v>104.00670677336704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2124700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2415612</v>
      </c>
      <c r="M14" s="38">
        <f t="shared" si="8"/>
        <v>0</v>
      </c>
      <c r="N14" s="38">
        <f t="shared" ca="1" si="8"/>
        <v>342761.33</v>
      </c>
      <c r="O14" s="38">
        <f t="shared" ca="1" si="1"/>
        <v>14.189419906839344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75600</v>
      </c>
      <c r="M16" s="38">
        <f t="shared" ca="1" si="10"/>
        <v>75600</v>
      </c>
      <c r="N16" s="38">
        <f t="shared" ca="1" si="10"/>
        <v>75600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2603065</v>
      </c>
      <c r="M18" s="23">
        <f t="shared" ca="1" si="11"/>
        <v>1404555</v>
      </c>
      <c r="N18" s="23">
        <f t="shared" ca="1" si="11"/>
        <v>1115041</v>
      </c>
      <c r="O18" s="22">
        <f t="shared" ref="O18:O20" ca="1" si="12">IF(L18&gt;0,N18*100/L18,0)</f>
        <v>42.835695612671984</v>
      </c>
      <c r="P18" s="22">
        <f t="shared" ref="P18:P26" ca="1" si="13">IF(M18&gt;0,N18*100/M18,0)</f>
        <v>79.387492835809212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2603065</v>
      </c>
      <c r="M20" s="30">
        <f t="shared" ca="1" si="15"/>
        <v>1404555</v>
      </c>
      <c r="N20" s="30">
        <f t="shared" ca="1" si="15"/>
        <v>1115041</v>
      </c>
      <c r="O20" s="29">
        <f t="shared" ca="1" si="12"/>
        <v>42.835695612671984</v>
      </c>
      <c r="P20" s="29">
        <f t="shared" ca="1" si="13"/>
        <v>79.387492835809212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2527465</v>
      </c>
      <c r="M22" s="41">
        <f t="shared" ca="1" si="18"/>
        <v>1328955</v>
      </c>
      <c r="N22" s="38">
        <f t="shared" ca="1" si="18"/>
        <v>1039441</v>
      </c>
      <c r="O22" s="38">
        <f t="shared" ca="1" si="17"/>
        <v>41.125831613889808</v>
      </c>
      <c r="P22" s="38">
        <f t="shared" ca="1" si="13"/>
        <v>78.214913221290416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2124700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402765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75600</v>
      </c>
      <c r="M26" s="49">
        <f t="shared" ca="1" si="22"/>
        <v>75600</v>
      </c>
      <c r="N26" s="49">
        <f t="shared" ca="1" si="22"/>
        <v>75600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2012847</v>
      </c>
      <c r="M28" s="23">
        <f t="shared" si="23"/>
        <v>0</v>
      </c>
      <c r="N28" s="23">
        <f t="shared" ca="1" si="23"/>
        <v>342761.33</v>
      </c>
      <c r="O28" s="22">
        <f t="shared" ref="O28:O30" ca="1" si="24">IF(L28&gt;0,N28*100/L28,0)</f>
        <v>17.028682756314812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2012847</v>
      </c>
      <c r="M30" s="30">
        <f t="shared" si="27"/>
        <v>0</v>
      </c>
      <c r="N30" s="30">
        <f t="shared" ca="1" si="27"/>
        <v>342761.33</v>
      </c>
      <c r="O30" s="29">
        <f t="shared" ca="1" si="24"/>
        <v>17.028682756314812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2012847</v>
      </c>
      <c r="M32" s="38">
        <f t="shared" si="30"/>
        <v>0</v>
      </c>
      <c r="N32" s="38">
        <f t="shared" ca="1" si="30"/>
        <v>342761.33</v>
      </c>
      <c r="O32" s="38">
        <f t="shared" ca="1" si="29"/>
        <v>17.028682756314812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2012847</v>
      </c>
      <c r="M34" s="38">
        <f t="shared" si="32"/>
        <v>0</v>
      </c>
      <c r="N34" s="38">
        <f t="shared" ca="1" si="32"/>
        <v>342761.33</v>
      </c>
      <c r="O34" s="38">
        <f t="shared" ca="1" si="29"/>
        <v>17.028682756314812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2603065</v>
      </c>
      <c r="M37" s="54">
        <f t="shared" ca="1" si="33"/>
        <v>1404555</v>
      </c>
      <c r="N37" s="54">
        <f t="shared" ca="1" si="33"/>
        <v>1115041</v>
      </c>
      <c r="O37" s="55">
        <f t="shared" ca="1" si="29"/>
        <v>42.835695612671984</v>
      </c>
      <c r="P37" s="55">
        <f t="shared" ca="1" si="25"/>
        <v>79.387492835809212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658100</v>
      </c>
      <c r="M41" s="78">
        <f t="shared" ca="1" si="34"/>
        <v>329100</v>
      </c>
      <c r="N41" s="78">
        <f t="shared" ca="1" si="34"/>
        <v>281834</v>
      </c>
      <c r="O41" s="77">
        <f t="shared" ref="O41:O43" ca="1" si="35">IF(L41&gt;0,N41*100/L41,0)</f>
        <v>42.825406473180365</v>
      </c>
      <c r="P41" s="77">
        <f t="shared" ref="P41:P43" ca="1" si="36">IF(M41&gt;0,N41*100/M41,0)</f>
        <v>85.637800060771795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658100</v>
      </c>
      <c r="M43" s="78">
        <f t="shared" ca="1" si="38"/>
        <v>329100</v>
      </c>
      <c r="N43" s="78">
        <f t="shared" ca="1" si="38"/>
        <v>281834</v>
      </c>
      <c r="O43" s="77">
        <f t="shared" ca="1" si="35"/>
        <v>42.825406473180365</v>
      </c>
      <c r="P43" s="77">
        <f t="shared" ca="1" si="36"/>
        <v>85.637800060771795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658100</v>
      </c>
      <c r="M45" s="49">
        <f ca="1">IFERROR(__xludf.DUMMYFUNCTION("IMPORTRANGE(""https://docs.google.com/spreadsheets/d/1Yj_ptqi66GCucihVvJfMjLAmec39IyEx_6qawtMGysU/edit?usp=sharing"",""สบก!Q27"")"),329100)</f>
        <v>329100</v>
      </c>
      <c r="N45" s="49">
        <f ca="1">IFERROR(__xludf.DUMMYFUNCTION("IMPORTRANGE(""https://docs.google.com/spreadsheets/d/1Yj_ptqi66GCucihVvJfMjLAmec39IyEx_6qawtMGysU/edit?usp=sharing"",""สบก!R27"")"),281834)</f>
        <v>281834</v>
      </c>
      <c r="O45" s="38">
        <f ca="1">IF(L45&gt;0,N45*100/L45,0)</f>
        <v>42.825406473180365</v>
      </c>
      <c r="P45" s="38">
        <f ca="1">IF(M45&gt;0,N45*100/M45,0)</f>
        <v>85.637800060771795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IFERROR(__xludf.DUMMYFUNCTION("IMPORTRANGE(""https://docs.google.com/spreadsheets/d/1Yj_ptqi66GCucihVvJfMjLAmec39IyEx_6qawtMGysU/edit?usp=sharing"",""สบก!M27"")"),658100)</f>
        <v>658100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IFERROR(__xludf.DUMMYFUNCTION("IMPORTRANGE(""https://docs.google.com/spreadsheets/d/1Yj_ptqi66GCucihVvJfMjLAmec39IyEx_6qawtMGysU/edit?usp=sharing"",""สบก!N27"")"),0)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IFERROR(__xludf.DUMMYFUNCTION("IMPORTRANGE(""https://docs.google.com/spreadsheets/d/1Yj_ptqi66GCucihVvJfMjLAmec39IyEx_6qawtMGysU/edit?usp=sharing"",""สบก!O27"")"),0)</f>
        <v>0</v>
      </c>
      <c r="M49" s="49"/>
      <c r="N49" s="49">
        <f ca="1">IFERROR(__xludf.DUMMYFUNCTION("IMPORTRANGE(""https://docs.google.com/spreadsheets/d/1Yj_ptqi66GCucihVvJfMjLAmec39IyEx_6qawtMGysU/edit?usp=sharing"",""สบก!S27"")"),0)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612000</v>
      </c>
      <c r="M53" s="120">
        <f t="shared" ca="1" si="39"/>
        <v>319500</v>
      </c>
      <c r="N53" s="120">
        <f t="shared" ca="1" si="39"/>
        <v>245715</v>
      </c>
      <c r="O53" s="119">
        <f t="shared" ref="O53:O55" ca="1" si="40">IF(L53&gt;0,N53*100/L53,0)</f>
        <v>40.149509803921568</v>
      </c>
      <c r="P53" s="119">
        <f t="shared" ref="P53:P55" ca="1" si="41">IF(M53&gt;0,N53*100/M53,0)</f>
        <v>76.906103286384976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612000</v>
      </c>
      <c r="M55" s="120">
        <f t="shared" ca="1" si="43"/>
        <v>319500</v>
      </c>
      <c r="N55" s="120">
        <f t="shared" ca="1" si="43"/>
        <v>245715</v>
      </c>
      <c r="O55" s="119">
        <f t="shared" ca="1" si="40"/>
        <v>40.149509803921568</v>
      </c>
      <c r="P55" s="119">
        <f t="shared" ca="1" si="41"/>
        <v>76.906103286384976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612000</v>
      </c>
      <c r="M57" s="49">
        <f ca="1">IFERROR(__xludf.DUMMYFUNCTION("IMPORTRANGE(""https://docs.google.com/spreadsheets/d/1Yj_ptqi66GCucihVvJfMjLAmec39IyEx_6qawtMGysU/edit?usp=sharing"",""สบก!Z27"")"),319500)</f>
        <v>319500</v>
      </c>
      <c r="N57" s="49">
        <f ca="1">IFERROR(__xludf.DUMMYFUNCTION("IMPORTRANGE(""https://docs.google.com/spreadsheets/d/1Yj_ptqi66GCucihVvJfMjLAmec39IyEx_6qawtMGysU/edit?usp=sharing"",""สบก!AA27"")"),245715)</f>
        <v>245715</v>
      </c>
      <c r="O57" s="38">
        <f ca="1">IF(L57&gt;0,N57*100/L57,0)</f>
        <v>40.149509803921568</v>
      </c>
      <c r="P57" s="38">
        <f ca="1">IF(M57&gt;0,N57*100/M57,0)</f>
        <v>76.906103286384976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IFERROR(__xludf.DUMMYFUNCTION("IMPORTRANGE(""https://docs.google.com/spreadsheets/d/1Yj_ptqi66GCucihVvJfMjLAmec39IyEx_6qawtMGysU/edit?usp=sharing"",""สบก!V27"")"),612000)</f>
        <v>612000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IFERROR(__xludf.DUMMYFUNCTION("IMPORTRANGE(""https://docs.google.com/spreadsheets/d/1Yj_ptqi66GCucihVvJfMjLAmec39IyEx_6qawtMGysU/edit?usp=sharing"",""สบก!W27"")"),0)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IFERROR(__xludf.DUMMYFUNCTION("IMPORTRANGE(""https://docs.google.com/spreadsheets/d/1Yj_ptqi66GCucihVvJfMjLAmec39IyEx_6qawtMGysU/edit?usp=sharing"",""สบก!X27"")"),0)</f>
        <v>0</v>
      </c>
      <c r="M61" s="49"/>
      <c r="N61" s="49">
        <f ca="1">IFERROR(__xludf.DUMMYFUNCTION("IMPORTRANGE(""https://docs.google.com/spreadsheets/d/1Yj_ptqi66GCucihVvJfMjLAmec39IyEx_6qawtMGysU/edit?usp=sharing"",""สบก!AB27"")"),0)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5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5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IFERROR(__xludf.DUMMYFUNCTION("IMPORTRANGE(""https://docs.google.com/spreadsheets/d/11923uPwbBZFjjGgGUA6NLw09EwE0CqkOc4q9oUmW1yo/edit?usp=sharing"",""พิจิตร!I9"")"),0)</f>
        <v>0</v>
      </c>
      <c r="J64" s="141">
        <f ca="1">IFERROR(__xludf.DUMMYFUNCTION("IMPORTRANGE(""https://docs.google.com/spreadsheets/d/11923uPwbBZFjjGgGUA6NLw09EwE0CqkOc4q9oUmW1yo/edit?usp=sharing"",""พิจิตร!J9"")"),0)</f>
        <v>0</v>
      </c>
      <c r="K64" s="142">
        <f t="shared" ref="K64:K65" ca="1" si="44">IF(I64&gt;0,J64*100/I64,0)</f>
        <v>0</v>
      </c>
      <c r="L64" s="143"/>
      <c r="M64" s="143"/>
      <c r="N64" s="144"/>
      <c r="O64" s="142"/>
      <c r="P64" s="142"/>
    </row>
    <row r="65" spans="1:16" ht="21.75" customHeight="1" x14ac:dyDescent="0.35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IFERROR(__xludf.DUMMYFUNCTION("IMPORTRANGE(""https://docs.google.com/spreadsheets/d/11923uPwbBZFjjGgGUA6NLw09EwE0CqkOc4q9oUmW1yo/edit?usp=sharing"",""พิจิตร!I10"")"),0)</f>
        <v>0</v>
      </c>
      <c r="J65" s="141">
        <f ca="1">IFERROR(__xludf.DUMMYFUNCTION("IMPORTRANGE(""https://docs.google.com/spreadsheets/d/11923uPwbBZFjjGgGUA6NLw09EwE0CqkOc4q9oUmW1yo/edit?usp=sharing"",""พิจิตร!J10"")"),0)</f>
        <v>0</v>
      </c>
      <c r="K65" s="142">
        <f t="shared" ca="1" si="44"/>
        <v>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0</v>
      </c>
      <c r="M66" s="151">
        <f t="shared" ca="1" si="45"/>
        <v>0</v>
      </c>
      <c r="N66" s="151">
        <f t="shared" ca="1" si="45"/>
        <v>0</v>
      </c>
      <c r="O66" s="150">
        <f t="shared" ref="O66:O68" ca="1" si="46">IF(L66&gt;0,N66*100/L66,0)</f>
        <v>0</v>
      </c>
      <c r="P66" s="150">
        <f t="shared" ref="P66:P68" ca="1" si="47">IF(M66&gt;0,N66*100/M66,0)</f>
        <v>0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0</v>
      </c>
      <c r="M68" s="87">
        <f t="shared" ca="1" si="49"/>
        <v>0</v>
      </c>
      <c r="N68" s="87">
        <f t="shared" ca="1" si="49"/>
        <v>0</v>
      </c>
      <c r="O68" s="155">
        <f t="shared" ca="1" si="46"/>
        <v>0</v>
      </c>
      <c r="P68" s="155">
        <f t="shared" ca="1" si="47"/>
        <v>0</v>
      </c>
    </row>
    <row r="69" spans="1:16" ht="21.75" customHeight="1" x14ac:dyDescent="0.35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IFERROR(__xludf.DUMMYFUNCTION("IMPORTRANGE(""https://docs.google.com/spreadsheets/d/1Yj_ptqi66GCucihVvJfMjLAmec39IyEx_6qawtMGysU/edit?usp=sharing"",""สบก!AI27"")"),0)</f>
        <v>0</v>
      </c>
      <c r="N70" s="168">
        <f ca="1">IFERROR(__xludf.DUMMYFUNCTION("IMPORTRANGE(""https://docs.google.com/spreadsheets/d/1Yj_ptqi66GCucihVvJfMjLAmec39IyEx_6qawtMGysU/edit?usp=sharing"",""สบก!AJ27"")"),0)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5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IFERROR(__xludf.DUMMYFUNCTION("IMPORTRANGE(""https://docs.google.com/spreadsheets/d/1Yj_ptqi66GCucihVvJfMjLAmec39IyEx_6qawtMGysU/edit?usp=sharing"",""สบก!AE27"")"),0)</f>
        <v>0</v>
      </c>
      <c r="M71" s="167"/>
      <c r="N71" s="167"/>
      <c r="O71" s="168"/>
      <c r="P71" s="168"/>
    </row>
    <row r="72" spans="1:16" ht="21.75" customHeight="1" x14ac:dyDescent="0.35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IFERROR(__xludf.DUMMYFUNCTION("IMPORTRANGE(""https://docs.google.com/spreadsheets/d/1Yj_ptqi66GCucihVvJfMjLAmec39IyEx_6qawtMGysU/edit?usp=sharing"",""สบก!AF27"")"),0)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IFERROR(__xludf.DUMMYFUNCTION("IMPORTRANGE(""https://docs.google.com/spreadsheets/d/1Yj_ptqi66GCucihVvJfMjLAmec39IyEx_6qawtMGysU/edit?usp=sharing"",""สบก!AG27"")"),0)</f>
        <v>0</v>
      </c>
      <c r="M74" s="49"/>
      <c r="N74" s="49">
        <f ca="1">IFERROR(__xludf.DUMMYFUNCTION("IMPORTRANGE(""https://docs.google.com/spreadsheets/d/1Yj_ptqi66GCucihVvJfMjLAmec39IyEx_6qawtMGysU/edit?usp=sharing"",""สบก!AK27"")"),0)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5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IFERROR(__xludf.DUMMYFUNCTION("IMPORTRANGE(""https://docs.google.com/spreadsheets/d/11923uPwbBZFjjGgGUA6NLw09EwE0CqkOc4q9oUmW1yo/edit?usp=sharing"",""พิจิตร!J16"")"),0)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5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IFERROR(__xludf.DUMMYFUNCTION("IMPORTRANGE(""https://docs.google.com/spreadsheets/d/11923uPwbBZFjjGgGUA6NLw09EwE0CqkOc4q9oUmW1yo/edit?usp=sharing"",""พิจิตร!J17"")"),0)</f>
        <v>0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5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IFERROR(__xludf.DUMMYFUNCTION("IMPORTRANGE(""https://docs.google.com/spreadsheets/d/11923uPwbBZFjjGgGUA6NLw09EwE0CqkOc4q9oUmW1yo/edit?usp=sharing"",""พิจิตร!J18"")"),0)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5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IFERROR(__xludf.DUMMYFUNCTION("IMPORTRANGE(""https://docs.google.com/spreadsheets/d/11923uPwbBZFjjGgGUA6NLw09EwE0CqkOc4q9oUmW1yo/edit?usp=sharing"",""พิจิตร!J19"")"),0)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5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IFERROR(__xludf.DUMMYFUNCTION("IMPORTRANGE(""https://docs.google.com/spreadsheets/d/11923uPwbBZFjjGgGUA6NLw09EwE0CqkOc4q9oUmW1yo/edit?usp=sharing"",""พิจิตร!I20"")"),0)</f>
        <v>0</v>
      </c>
      <c r="J80" s="200">
        <f ca="1">IFERROR(__xludf.DUMMYFUNCTION("IMPORTRANGE(""https://docs.google.com/spreadsheets/d/11923uPwbBZFjjGgGUA6NLw09EwE0CqkOc4q9oUmW1yo/edit?usp=sharing"",""พิจิตร!J20"")"),0)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IFERROR(__xludf.DUMMYFUNCTION("IMPORTRANGE(""https://docs.google.com/spreadsheets/d/11923uPwbBZFjjGgGUA6NLw09EwE0CqkOc4q9oUmW1yo/edit?usp=sharing"",""พิจิตร!I21"")"),0)</f>
        <v>0</v>
      </c>
      <c r="J81" s="200">
        <f ca="1">IFERROR(__xludf.DUMMYFUNCTION("IMPORTRANGE(""https://docs.google.com/spreadsheets/d/11923uPwbBZFjjGgGUA6NLw09EwE0CqkOc4q9oUmW1yo/edit?usp=sharing"",""พิจิตร!J21"")"),0)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5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IFERROR(__xludf.DUMMYFUNCTION("IMPORTRANGE(""https://docs.google.com/spreadsheets/d/11923uPwbBZFjjGgGUA6NLw09EwE0CqkOc4q9oUmW1yo/edit?usp=sharing"",""พิจิตร!I22"")"),0)</f>
        <v>0</v>
      </c>
      <c r="J82" s="203">
        <f ca="1">IFERROR(__xludf.DUMMYFUNCTION("IMPORTRANGE(""https://docs.google.com/spreadsheets/d/11923uPwbBZFjjGgGUA6NLw09EwE0CqkOc4q9oUmW1yo/edit?usp=sharing"",""พิจิตร!J22"")"),0)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IFERROR(__xludf.DUMMYFUNCTION("IMPORTRANGE(""https://docs.google.com/spreadsheets/d/11923uPwbBZFjjGgGUA6NLw09EwE0CqkOc4q9oUmW1yo/edit?usp=sharing"",""พิจิตร!I23"")"),0)</f>
        <v>0</v>
      </c>
      <c r="J83" s="203">
        <f ca="1">IFERROR(__xludf.DUMMYFUNCTION("IMPORTRANGE(""https://docs.google.com/spreadsheets/d/11923uPwbBZFjjGgGUA6NLw09EwE0CqkOc4q9oUmW1yo/edit?usp=sharing"",""พิจิตร!J23"")"),0)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5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IFERROR(__xludf.DUMMYFUNCTION("IMPORTRANGE(""https://docs.google.com/spreadsheets/d/11923uPwbBZFjjGgGUA6NLw09EwE0CqkOc4q9oUmW1yo/edit?usp=sharing"",""พิจิตร!I24"")"),0)</f>
        <v>0</v>
      </c>
      <c r="J84" s="188">
        <f ca="1">IFERROR(__xludf.DUMMYFUNCTION("IMPORTRANGE(""https://docs.google.com/spreadsheets/d/11923uPwbBZFjjGgGUA6NLw09EwE0CqkOc4q9oUmW1yo/edit?usp=sharing"",""พิจิตร!J24"")"),0)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IFERROR(__xludf.DUMMYFUNCTION("IMPORTRANGE(""https://docs.google.com/spreadsheets/d/11923uPwbBZFjjGgGUA6NLw09EwE0CqkOc4q9oUmW1yo/edit?usp=sharing"",""พิจิตร!I25"")"),0)</f>
        <v>0</v>
      </c>
      <c r="J85" s="188">
        <f ca="1">IFERROR(__xludf.DUMMYFUNCTION("IMPORTRANGE(""https://docs.google.com/spreadsheets/d/11923uPwbBZFjjGgGUA6NLw09EwE0CqkOc4q9oUmW1yo/edit?usp=sharing"",""พิจิตร!J25"")"),0)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5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IFERROR(__xludf.DUMMYFUNCTION("IMPORTRANGE(""https://docs.google.com/spreadsheets/d/11923uPwbBZFjjGgGUA6NLw09EwE0CqkOc4q9oUmW1yo/edit?usp=sharing"",""พิจิตร!I26"")"),0)</f>
        <v>0</v>
      </c>
      <c r="J86" s="203">
        <f ca="1">IFERROR(__xludf.DUMMYFUNCTION("IMPORTRANGE(""https://docs.google.com/spreadsheets/d/11923uPwbBZFjjGgGUA6NLw09EwE0CqkOc4q9oUmW1yo/edit?usp=sharing"",""พิจิตร!J26"")"),0)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IFERROR(__xludf.DUMMYFUNCTION("IMPORTRANGE(""https://docs.google.com/spreadsheets/d/11923uPwbBZFjjGgGUA6NLw09EwE0CqkOc4q9oUmW1yo/edit?usp=sharing"",""พิจิตร!I27"")"),0)</f>
        <v>0</v>
      </c>
      <c r="J87" s="203">
        <f ca="1">IFERROR(__xludf.DUMMYFUNCTION("IMPORTRANGE(""https://docs.google.com/spreadsheets/d/11923uPwbBZFjjGgGUA6NLw09EwE0CqkOc4q9oUmW1yo/edit?usp=sharing"",""พิจิตร!J27"")"),0)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5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IFERROR(__xludf.DUMMYFUNCTION("IMPORTRANGE(""https://docs.google.com/spreadsheets/d/11923uPwbBZFjjGgGUA6NLw09EwE0CqkOc4q9oUmW1yo/edit?usp=sharing"",""พิจิตร!I28"")"),0)</f>
        <v>0</v>
      </c>
      <c r="J88" s="203">
        <f ca="1">IFERROR(__xludf.DUMMYFUNCTION("IMPORTRANGE(""https://docs.google.com/spreadsheets/d/11923uPwbBZFjjGgGUA6NLw09EwE0CqkOc4q9oUmW1yo/edit?usp=sharing"",""พิจิตร!J28"")"),0)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5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IFERROR(__xludf.DUMMYFUNCTION("IMPORTRANGE(""https://docs.google.com/spreadsheets/d/11923uPwbBZFjjGgGUA6NLw09EwE0CqkOc4q9oUmW1yo/edit?usp=sharing"",""พิจิตร!J29"")"),0)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5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IFERROR(__xludf.DUMMYFUNCTION("IMPORTRANGE(""https://docs.google.com/spreadsheets/d/11923uPwbBZFjjGgGUA6NLw09EwE0CqkOc4q9oUmW1yo/edit?usp=sharing"",""พิจิตร!J30"")"),0)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5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5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IFERROR(__xludf.DUMMYFUNCTION("IMPORTRANGE(""https://docs.google.com/spreadsheets/d/11923uPwbBZFjjGgGUA6NLw09EwE0CqkOc4q9oUmW1yo/edit?usp=sharing"",""พิจิตร!I32"")"),0)</f>
        <v>0</v>
      </c>
      <c r="J92" s="141">
        <f ca="1">IFERROR(__xludf.DUMMYFUNCTION("IMPORTRANGE(""https://docs.google.com/spreadsheets/d/11923uPwbBZFjjGgGUA6NLw09EwE0CqkOc4q9oUmW1yo/edit?usp=sharing"",""พิจิตร!J32"")"),0)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5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IFERROR(__xludf.DUMMYFUNCTION("IMPORTRANGE(""https://docs.google.com/spreadsheets/d/11923uPwbBZFjjGgGUA6NLw09EwE0CqkOc4q9oUmW1yo/edit?usp=sharing"",""พิจิตร!I33"")"),0)</f>
        <v>0</v>
      </c>
      <c r="J93" s="141">
        <f ca="1">IFERROR(__xludf.DUMMYFUNCTION("IMPORTRANGE(""https://docs.google.com/spreadsheets/d/11923uPwbBZFjjGgGUA6NLw09EwE0CqkOc4q9oUmW1yo/edit?usp=sharing"",""พิจิตร!J33"")"),0)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0</v>
      </c>
      <c r="M94" s="151">
        <f t="shared" ca="1" si="52"/>
        <v>0</v>
      </c>
      <c r="N94" s="151">
        <f t="shared" ca="1" si="52"/>
        <v>0</v>
      </c>
      <c r="O94" s="150">
        <f t="shared" ref="O94:O96" ca="1" si="53">IF(L94&gt;0,N94*100/L94,0)</f>
        <v>0</v>
      </c>
      <c r="P94" s="150">
        <f t="shared" ref="P94:P96" ca="1" si="54">IF(M94&gt;0,N94*100/M94,0)</f>
        <v>0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0</v>
      </c>
      <c r="M96" s="87">
        <f t="shared" ca="1" si="56"/>
        <v>0</v>
      </c>
      <c r="N96" s="87">
        <f t="shared" ca="1" si="56"/>
        <v>0</v>
      </c>
      <c r="O96" s="155">
        <f t="shared" ca="1" si="53"/>
        <v>0</v>
      </c>
      <c r="P96" s="155">
        <f t="shared" ca="1" si="54"/>
        <v>0</v>
      </c>
    </row>
    <row r="97" spans="1:16" ht="21.75" customHeight="1" x14ac:dyDescent="0.35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IFERROR(__xludf.DUMMYFUNCTION("IMPORTRANGE(""https://docs.google.com/spreadsheets/d/1Yj_ptqi66GCucihVvJfMjLAmec39IyEx_6qawtMGysU/edit?usp=sharing"",""สบก!AR27"")"),0)</f>
        <v>0</v>
      </c>
      <c r="N98" s="168">
        <f ca="1">IFERROR(__xludf.DUMMYFUNCTION("IMPORTRANGE(""https://docs.google.com/spreadsheets/d/1Yj_ptqi66GCucihVvJfMjLAmec39IyEx_6qawtMGysU/edit?usp=sharing"",""สบก!AS27"")"),0)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5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IFERROR(__xludf.DUMMYFUNCTION("IMPORTRANGE(""https://docs.google.com/spreadsheets/d/1Yj_ptqi66GCucihVvJfMjLAmec39IyEx_6qawtMGysU/edit?usp=sharing"",""สบก!AN27"")"),0)</f>
        <v>0</v>
      </c>
      <c r="M99" s="167"/>
      <c r="N99" s="167"/>
      <c r="O99" s="168"/>
      <c r="P99" s="168"/>
    </row>
    <row r="100" spans="1:16" ht="21.75" customHeight="1" x14ac:dyDescent="0.35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IFERROR(__xludf.DUMMYFUNCTION("IMPORTRANGE(""https://docs.google.com/spreadsheets/d/1Yj_ptqi66GCucihVvJfMjLAmec39IyEx_6qawtMGysU/edit?usp=sharing"",""สบก!AO27"")"),0)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IFERROR(__xludf.DUMMYFUNCTION("IMPORTRANGE(""https://docs.google.com/spreadsheets/d/1Yj_ptqi66GCucihVvJfMjLAmec39IyEx_6qawtMGysU/edit?usp=sharing"",""สบก!AP27"")"),0)</f>
        <v>0</v>
      </c>
      <c r="M102" s="49"/>
      <c r="N102" s="49">
        <f ca="1">IFERROR(__xludf.DUMMYFUNCTION("IMPORTRANGE(""https://docs.google.com/spreadsheets/d/1Yj_ptqi66GCucihVvJfMjLAmec39IyEx_6qawtMGysU/edit?usp=sharing"",""สบก!AT27"")"),0)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5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IFERROR(__xludf.DUMMYFUNCTION("IMPORTRANGE(""https://docs.google.com/spreadsheets/d/11923uPwbBZFjjGgGUA6NLw09EwE0CqkOc4q9oUmW1yo/edit?usp=sharing"",""พิจิตร!J39"")"),0)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5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IFERROR(__xludf.DUMMYFUNCTION("IMPORTRANGE(""https://docs.google.com/spreadsheets/d/11923uPwbBZFjjGgGUA6NLw09EwE0CqkOc4q9oUmW1yo/edit?usp=sharing"",""พิจิตร!J40"")"),0)</f>
        <v>0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5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IFERROR(__xludf.DUMMYFUNCTION("IMPORTRANGE(""https://docs.google.com/spreadsheets/d/11923uPwbBZFjjGgGUA6NLw09EwE0CqkOc4q9oUmW1yo/edit?usp=sharing"",""พิจิตร!J41"")"),0)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5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IFERROR(__xludf.DUMMYFUNCTION("IMPORTRANGE(""https://docs.google.com/spreadsheets/d/11923uPwbBZFjjGgGUA6NLw09EwE0CqkOc4q9oUmW1yo/edit?usp=sharing"",""พิจิตร!J42"")"),0)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5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IFERROR(__xludf.DUMMYFUNCTION("IMPORTRANGE(""https://docs.google.com/spreadsheets/d/11923uPwbBZFjjGgGUA6NLw09EwE0CqkOc4q9oUmW1yo/edit?usp=sharing"",""พิจิตร!I43"")"),0)</f>
        <v>0</v>
      </c>
      <c r="J108" s="203">
        <f ca="1">IFERROR(__xludf.DUMMYFUNCTION("IMPORTRANGE(""https://docs.google.com/spreadsheets/d/11923uPwbBZFjjGgGUA6NLw09EwE0CqkOc4q9oUmW1yo/edit?usp=sharing"",""พิจิตร!J43"")"),0)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5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IFERROR(__xludf.DUMMYFUNCTION("IMPORTRANGE(""https://docs.google.com/spreadsheets/d/11923uPwbBZFjjGgGUA6NLw09EwE0CqkOc4q9oUmW1yo/edit?usp=sharing"",""พิจิตร!I44"")"),0)</f>
        <v>0</v>
      </c>
      <c r="J109" s="203">
        <f ca="1">IFERROR(__xludf.DUMMYFUNCTION("IMPORTRANGE(""https://docs.google.com/spreadsheets/d/11923uPwbBZFjjGgGUA6NLw09EwE0CqkOc4q9oUmW1yo/edit?usp=sharing"",""พิจิตร!J44"")"),0)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5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IFERROR(__xludf.DUMMYFUNCTION("IMPORTRANGE(""https://docs.google.com/spreadsheets/d/11923uPwbBZFjjGgGUA6NLw09EwE0CqkOc4q9oUmW1yo/edit?usp=sharing"",""พิจิตร!I45"")"),0)</f>
        <v>0</v>
      </c>
      <c r="J110" s="203">
        <f ca="1">IFERROR(__xludf.DUMMYFUNCTION("IMPORTRANGE(""https://docs.google.com/spreadsheets/d/11923uPwbBZFjjGgGUA6NLw09EwE0CqkOc4q9oUmW1yo/edit?usp=sharing"",""พิจิตร!J45"")"),0)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5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IFERROR(__xludf.DUMMYFUNCTION("IMPORTRANGE(""https://docs.google.com/spreadsheets/d/11923uPwbBZFjjGgGUA6NLw09EwE0CqkOc4q9oUmW1yo/edit?usp=sharing"",""พิจิตร!I46"")"),0)</f>
        <v>0</v>
      </c>
      <c r="J111" s="203">
        <f ca="1">IFERROR(__xludf.DUMMYFUNCTION("IMPORTRANGE(""https://docs.google.com/spreadsheets/d/11923uPwbBZFjjGgGUA6NLw09EwE0CqkOc4q9oUmW1yo/edit?usp=sharing"",""พิจิตร!J46"")"),0)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5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IFERROR(__xludf.DUMMYFUNCTION("IMPORTRANGE(""https://docs.google.com/spreadsheets/d/11923uPwbBZFjjGgGUA6NLw09EwE0CqkOc4q9oUmW1yo/edit?usp=sharing"",""พิจิตร!I47"")"),0)</f>
        <v>0</v>
      </c>
      <c r="J112" s="203">
        <f ca="1">IFERROR(__xludf.DUMMYFUNCTION("IMPORTRANGE(""https://docs.google.com/spreadsheets/d/11923uPwbBZFjjGgGUA6NLw09EwE0CqkOc4q9oUmW1yo/edit?usp=sharing"",""พิจิตร!J47"")"),0)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5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IFERROR(__xludf.DUMMYFUNCTION("IMPORTRANGE(""https://docs.google.com/spreadsheets/d/11923uPwbBZFjjGgGUA6NLw09EwE0CqkOc4q9oUmW1yo/edit?usp=sharing"",""พิจิตร!I48"")"),0)</f>
        <v>0</v>
      </c>
      <c r="J113" s="203">
        <f ca="1">IFERROR(__xludf.DUMMYFUNCTION("IMPORTRANGE(""https://docs.google.com/spreadsheets/d/11923uPwbBZFjjGgGUA6NLw09EwE0CqkOc4q9oUmW1yo/edit?usp=sharing"",""พิจิตร!J48"")"),0)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5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IFERROR(__xludf.DUMMYFUNCTION("IMPORTRANGE(""https://docs.google.com/spreadsheets/d/11923uPwbBZFjjGgGUA6NLw09EwE0CqkOc4q9oUmW1yo/edit?usp=sharing"",""พิจิตร!J49"")"),0)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5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IFERROR(__xludf.DUMMYFUNCTION("IMPORTRANGE(""https://docs.google.com/spreadsheets/d/11923uPwbBZFjjGgGUA6NLw09EwE0CqkOc4q9oUmW1yo/edit?usp=sharing"",""พิจิตร!J50"")"),0)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5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5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IFERROR(__xludf.DUMMYFUNCTION("IMPORTRANGE(""https://docs.google.com/spreadsheets/d/11923uPwbBZFjjGgGUA6NLw09EwE0CqkOc4q9oUmW1yo/edit?usp=sharing"",""พิจิตร!I52"")"),0)</f>
        <v>0</v>
      </c>
      <c r="J117" s="141">
        <f ca="1">IFERROR(__xludf.DUMMYFUNCTION("IMPORTRANGE(""https://docs.google.com/spreadsheets/d/11923uPwbBZFjjGgGUA6NLw09EwE0CqkOc4q9oUmW1yo/edit?usp=sharing"",""พิจิตร!J52"")"),0)</f>
        <v>0</v>
      </c>
      <c r="K117" s="142">
        <f ca="1">IF(I117&gt;0,J117*100/I117,0)</f>
        <v>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0</v>
      </c>
      <c r="M118" s="151">
        <f t="shared" ca="1" si="58"/>
        <v>0</v>
      </c>
      <c r="N118" s="151">
        <f t="shared" ca="1" si="58"/>
        <v>0</v>
      </c>
      <c r="O118" s="150">
        <f t="shared" ref="O118:O120" ca="1" si="59">IF(L118&gt;0,N118*100/L118,0)</f>
        <v>0</v>
      </c>
      <c r="P118" s="150">
        <f t="shared" ref="P118:P120" ca="1" si="60">IF(M118&gt;0,N118*100/M118,0)</f>
        <v>0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0</v>
      </c>
      <c r="M120" s="87">
        <f t="shared" ca="1" si="62"/>
        <v>0</v>
      </c>
      <c r="N120" s="87">
        <f t="shared" ca="1" si="62"/>
        <v>0</v>
      </c>
      <c r="O120" s="155">
        <f t="shared" ca="1" si="59"/>
        <v>0</v>
      </c>
      <c r="P120" s="155">
        <f t="shared" ca="1" si="60"/>
        <v>0</v>
      </c>
    </row>
    <row r="121" spans="1:16" ht="21.75" customHeight="1" x14ac:dyDescent="0.35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IFERROR(__xludf.DUMMYFUNCTION("IMPORTRANGE(""https://docs.google.com/spreadsheets/d/1Yj_ptqi66GCucihVvJfMjLAmec39IyEx_6qawtMGysU/edit?usp=sharing"",""สบก!BA27"")"),0)</f>
        <v>0</v>
      </c>
      <c r="N122" s="168">
        <f ca="1">IFERROR(__xludf.DUMMYFUNCTION("IMPORTRANGE(""https://docs.google.com/spreadsheets/d/1Yj_ptqi66GCucihVvJfMjLAmec39IyEx_6qawtMGysU/edit?usp=sharing"",""สบก!BB27"")"),0)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5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IFERROR(__xludf.DUMMYFUNCTION("IMPORTRANGE(""https://docs.google.com/spreadsheets/d/1Yj_ptqi66GCucihVvJfMjLAmec39IyEx_6qawtMGysU/edit?usp=sharing"",""สบก!AW27"")"),0)</f>
        <v>0</v>
      </c>
      <c r="M123" s="167"/>
      <c r="N123" s="167"/>
      <c r="O123" s="168"/>
      <c r="P123" s="168"/>
    </row>
    <row r="124" spans="1:16" ht="21.75" customHeight="1" x14ac:dyDescent="0.35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IFERROR(__xludf.DUMMYFUNCTION("IMPORTRANGE(""https://docs.google.com/spreadsheets/d/1Yj_ptqi66GCucihVvJfMjLAmec39IyEx_6qawtMGysU/edit?usp=sharing"",""สบก!AX27"")"),0)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IFERROR(__xludf.DUMMYFUNCTION("IMPORTRANGE(""https://docs.google.com/spreadsheets/d/1Yj_ptqi66GCucihVvJfMjLAmec39IyEx_6qawtMGysU/edit?usp=sharing"",""สบก!AY27"")"),0)</f>
        <v>0</v>
      </c>
      <c r="M126" s="49"/>
      <c r="N126" s="49">
        <f ca="1">IFERROR(__xludf.DUMMYFUNCTION("IMPORTRANGE(""https://docs.google.com/spreadsheets/d/1Yj_ptqi66GCucihVvJfMjLAmec39IyEx_6qawtMGysU/edit?usp=sharing"",""สบก!BC27"")"),0)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5"/>
      <c r="B127" s="176"/>
      <c r="C127" s="157" t="s">
        <v>16</v>
      </c>
      <c r="D127" s="232" t="s">
        <v>253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5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IFERROR(__xludf.DUMMYFUNCTION("IMPORTRANGE(""https://docs.google.com/spreadsheets/d/11923uPwbBZFjjGgGUA6NLw09EwE0CqkOc4q9oUmW1yo/edit?usp=sharing"",""พิจิตร!J58"")"),0)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5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IFERROR(__xludf.DUMMYFUNCTION("IMPORTRANGE(""https://docs.google.com/spreadsheets/d/11923uPwbBZFjjGgGUA6NLw09EwE0CqkOc4q9oUmW1yo/edit?usp=sharing"",""พิจิตร!J59"")"),0)</f>
        <v>0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5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IFERROR(__xludf.DUMMYFUNCTION("IMPORTRANGE(""https://docs.google.com/spreadsheets/d/11923uPwbBZFjjGgGUA6NLw09EwE0CqkOc4q9oUmW1yo/edit?usp=sharing"",""พิจิตร!J60"")"),0)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5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IFERROR(__xludf.DUMMYFUNCTION("IMPORTRANGE(""https://docs.google.com/spreadsheets/d/11923uPwbBZFjjGgGUA6NLw09EwE0CqkOc4q9oUmW1yo/edit?usp=sharing"",""พิจิตร!J61"")"),0)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5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IFERROR(__xludf.DUMMYFUNCTION("IMPORTRANGE(""https://docs.google.com/spreadsheets/d/11923uPwbBZFjjGgGUA6NLw09EwE0CqkOc4q9oUmW1yo/edit?usp=sharing"",""พิจิตร!I62"")"),0)</f>
        <v>0</v>
      </c>
      <c r="J132" s="203">
        <f ca="1">IFERROR(__xludf.DUMMYFUNCTION("IMPORTRANGE(""https://docs.google.com/spreadsheets/d/11923uPwbBZFjjGgGUA6NLw09EwE0CqkOc4q9oUmW1yo/edit?usp=sharing"",""พิจิตร!J62"")"),0)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5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IFERROR(__xludf.DUMMYFUNCTION("IMPORTRANGE(""https://docs.google.com/spreadsheets/d/11923uPwbBZFjjGgGUA6NLw09EwE0CqkOc4q9oUmW1yo/edit?usp=sharing"",""พิจิตร!I63"")"),0)</f>
        <v>0</v>
      </c>
      <c r="J133" s="203">
        <f ca="1">IFERROR(__xludf.DUMMYFUNCTION("IMPORTRANGE(""https://docs.google.com/spreadsheets/d/11923uPwbBZFjjGgGUA6NLw09EwE0CqkOc4q9oUmW1yo/edit?usp=sharing"",""พิจิตร!J63"")"),0)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5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IFERROR(__xludf.DUMMYFUNCTION("IMPORTRANGE(""https://docs.google.com/spreadsheets/d/11923uPwbBZFjjGgGUA6NLw09EwE0CqkOc4q9oUmW1yo/edit?usp=sharing"",""พิจิตร!J64"")"),0)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5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IFERROR(__xludf.DUMMYFUNCTION("IMPORTRANGE(""https://docs.google.com/spreadsheets/d/11923uPwbBZFjjGgGUA6NLw09EwE0CqkOc4q9oUmW1yo/edit?usp=sharing"",""พิจิตร!J65"")"),0)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5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5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5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IFERROR(__xludf.DUMMYFUNCTION("IMPORTRANGE(""https://docs.google.com/spreadsheets/d/11923uPwbBZFjjGgGUA6NLw09EwE0CqkOc4q9oUmW1yo/edit?usp=sharing"",""พิจิตร!I68"")"),0)</f>
        <v>0</v>
      </c>
      <c r="J138" s="266">
        <f ca="1">IFERROR(__xludf.DUMMYFUNCTION("IMPORTRANGE(""https://docs.google.com/spreadsheets/d/11923uPwbBZFjjGgGUA6NLw09EwE0CqkOc4q9oUmW1yo/edit?usp=sharing"",""พิจิตร!J68"")"),0)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5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58500</v>
      </c>
      <c r="M140" s="151">
        <f t="shared" ca="1" si="64"/>
        <v>53750</v>
      </c>
      <c r="N140" s="151">
        <f t="shared" ca="1" si="64"/>
        <v>47218</v>
      </c>
      <c r="O140" s="150">
        <f t="shared" ref="O140:O142" ca="1" si="65">IF(L140&gt;0,N140*100/L140,0)</f>
        <v>80.714529914529919</v>
      </c>
      <c r="P140" s="150">
        <f t="shared" ref="P140:P142" ca="1" si="66">IF(M140&gt;0,N140*100/M140,0)</f>
        <v>87.847441860465111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58500</v>
      </c>
      <c r="M142" s="87">
        <f t="shared" ca="1" si="68"/>
        <v>53750</v>
      </c>
      <c r="N142" s="87">
        <f t="shared" ca="1" si="68"/>
        <v>47218</v>
      </c>
      <c r="O142" s="155">
        <f t="shared" ca="1" si="65"/>
        <v>80.714529914529919</v>
      </c>
      <c r="P142" s="155">
        <f t="shared" ca="1" si="66"/>
        <v>87.847441860465111</v>
      </c>
    </row>
    <row r="143" spans="1:16" ht="21.75" customHeight="1" x14ac:dyDescent="0.35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58500</v>
      </c>
      <c r="M144" s="167">
        <f ca="1">IFERROR(__xludf.DUMMYFUNCTION("IMPORTRANGE(""https://docs.google.com/spreadsheets/d/1Yj_ptqi66GCucihVvJfMjLAmec39IyEx_6qawtMGysU/edit?usp=sharing"",""สบก!BJ27"")"),53750)</f>
        <v>53750</v>
      </c>
      <c r="N144" s="168">
        <f ca="1">IFERROR(__xludf.DUMMYFUNCTION("IMPORTRANGE(""https://docs.google.com/spreadsheets/d/1Yj_ptqi66GCucihVvJfMjLAmec39IyEx_6qawtMGysU/edit?usp=sharing"",""สบก!BK27"")"),47218)</f>
        <v>47218</v>
      </c>
      <c r="O144" s="168">
        <f ca="1">IF(L144&gt;0,N144*100/L144,0)</f>
        <v>80.714529914529919</v>
      </c>
      <c r="P144" s="168">
        <f ca="1">IF(M144&gt;0,N144*100/M144,0)</f>
        <v>87.847441860465111</v>
      </c>
    </row>
    <row r="145" spans="1:16" ht="21.75" customHeight="1" x14ac:dyDescent="0.35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IFERROR(__xludf.DUMMYFUNCTION("IMPORTRANGE(""https://docs.google.com/spreadsheets/d/1Yj_ptqi66GCucihVvJfMjLAmec39IyEx_6qawtMGysU/edit?usp=sharing"",""สบก!BF27"")"),0)</f>
        <v>0</v>
      </c>
      <c r="M145" s="167"/>
      <c r="N145" s="167"/>
      <c r="O145" s="168"/>
      <c r="P145" s="168"/>
    </row>
    <row r="146" spans="1:16" ht="21.75" customHeight="1" x14ac:dyDescent="0.35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IFERROR(__xludf.DUMMYFUNCTION("IMPORTRANGE(""https://docs.google.com/spreadsheets/d/1Yj_ptqi66GCucihVvJfMjLAmec39IyEx_6qawtMGysU/edit?usp=sharing"",""สบก!BG27"")"),58500)</f>
        <v>58500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IFERROR(__xludf.DUMMYFUNCTION("IMPORTRANGE(""https://docs.google.com/spreadsheets/d/1Yj_ptqi66GCucihVvJfMjLAmec39IyEx_6qawtMGysU/edit?usp=sharing"",""สบก!BH27"")"),0)</f>
        <v>0</v>
      </c>
      <c r="M148" s="49"/>
      <c r="N148" s="49">
        <f ca="1">IFERROR(__xludf.DUMMYFUNCTION("IMPORTRANGE(""https://docs.google.com/spreadsheets/d/1Yj_ptqi66GCucihVvJfMjLAmec39IyEx_6qawtMGysU/edit?usp=sharing"",""สบก!BL27"")"),0)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IFERROR(__xludf.DUMMYFUNCTION("IMPORTRANGE(""https://docs.google.com/spreadsheets/d/11923uPwbBZFjjGgGUA6NLw09EwE0CqkOc4q9oUmW1yo/edit?usp=sharing"",""พิจิตร!I74"")"),4)</f>
        <v>4</v>
      </c>
      <c r="J149" s="274">
        <f ca="1">IFERROR(__xludf.DUMMYFUNCTION("IMPORTRANGE(""https://docs.google.com/spreadsheets/d/11923uPwbBZFjjGgGUA6NLw09EwE0CqkOc4q9oUmW1yo/edit?usp=sharing"",""พิจิตร!J74"")"),1)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5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5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5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IFERROR(__xludf.DUMMYFUNCTION("IMPORTRANGE(""https://docs.google.com/spreadsheets/d/11923uPwbBZFjjGgGUA6NLw09EwE0CqkOc4q9oUmW1yo/edit?usp=sharing"",""พิจิตร!J79"")"),0)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5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IFERROR(__xludf.DUMMYFUNCTION("IMPORTRANGE(""https://docs.google.com/spreadsheets/d/11923uPwbBZFjjGgGUA6NLw09EwE0CqkOc4q9oUmW1yo/edit?usp=sharing"",""พิจิตร!J80"")"),1)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5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IFERROR(__xludf.DUMMYFUNCTION("IMPORTRANGE(""https://docs.google.com/spreadsheets/d/11923uPwbBZFjjGgGUA6NLw09EwE0CqkOc4q9oUmW1yo/edit?usp=sharing"",""พิจิตร!J81"")"),1)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5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IFERROR(__xludf.DUMMYFUNCTION("IMPORTRANGE(""https://docs.google.com/spreadsheets/d/11923uPwbBZFjjGgGUA6NLw09EwE0CqkOc4q9oUmW1yo/edit?usp=sharing"",""พิจิตร!J82"")"),1)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5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IFERROR(__xludf.DUMMYFUNCTION("IMPORTRANGE(""https://docs.google.com/spreadsheets/d/11923uPwbBZFjjGgGUA6NLw09EwE0CqkOc4q9oUmW1yo/edit?usp=sharing"",""พิจิตร!I83"")"),4)</f>
        <v>4</v>
      </c>
      <c r="J158" s="188">
        <f ca="1">IFERROR(__xludf.DUMMYFUNCTION("IMPORTRANGE(""https://docs.google.com/spreadsheets/d/11923uPwbBZFjjGgGUA6NLw09EwE0CqkOc4q9oUmW1yo/edit?usp=sharing"",""พิจิตร!J83"")"),1)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5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IFERROR(__xludf.DUMMYFUNCTION("IMPORTRANGE(""https://docs.google.com/spreadsheets/d/11923uPwbBZFjjGgGUA6NLw09EwE0CqkOc4q9oUmW1yo/edit?usp=sharing"",""พิจิตร!J84"")"),28)</f>
        <v>28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IFERROR(__xludf.DUMMYFUNCTION("IMPORTRANGE(""https://docs.google.com/spreadsheets/d/11923uPwbBZFjjGgGUA6NLw09EwE0CqkOc4q9oUmW1yo/edit?usp=sharing"",""พิจิตร!J85"")"),28)</f>
        <v>28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IFERROR(__xludf.DUMMYFUNCTION("IMPORTRANGE(""https://docs.google.com/spreadsheets/d/11923uPwbBZFjjGgGUA6NLw09EwE0CqkOc4q9oUmW1yo/edit?usp=sharing"",""พิจิตร!J86"")"),0)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5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IFERROR(__xludf.DUMMYFUNCTION("IMPORTRANGE(""https://docs.google.com/spreadsheets/d/11923uPwbBZFjjGgGUA6NLw09EwE0CqkOc4q9oUmW1yo/edit?usp=sharing"",""พิจิตร!J87"")"),0)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5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IFERROR(__xludf.DUMMYFUNCTION("IMPORTRANGE(""https://docs.google.com/spreadsheets/d/11923uPwbBZFjjGgGUA6NLw09EwE0CqkOc4q9oUmW1yo/edit?usp=sharing"",""พิจิตร!J88"")"),0)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5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IFERROR(__xludf.DUMMYFUNCTION("IMPORTRANGE(""https://docs.google.com/spreadsheets/d/11923uPwbBZFjjGgGUA6NLw09EwE0CqkOc4q9oUmW1yo/edit?usp=sharing"",""พิจิตร!I89"")"),3)</f>
        <v>3</v>
      </c>
      <c r="J164" s="282">
        <f ca="1">IFERROR(__xludf.DUMMYFUNCTION("IMPORTRANGE(""https://docs.google.com/spreadsheets/d/11923uPwbBZFjjGgGUA6NLw09EwE0CqkOc4q9oUmW1yo/edit?usp=sharing"",""พิจิตร!J89"")"),0)</f>
        <v>0</v>
      </c>
      <c r="K164" s="283">
        <f ca="1">IF(I164&gt;0,J164*100/I164,0)</f>
        <v>0</v>
      </c>
      <c r="L164" s="276"/>
      <c r="M164" s="276"/>
      <c r="N164" s="276"/>
      <c r="O164" s="276"/>
      <c r="P164" s="276"/>
    </row>
    <row r="165" spans="1:16" ht="21.75" customHeight="1" x14ac:dyDescent="0.35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5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5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IFERROR(__xludf.DUMMYFUNCTION("IMPORTRANGE(""https://docs.google.com/spreadsheets/d/11923uPwbBZFjjGgGUA6NLw09EwE0CqkOc4q9oUmW1yo/edit?usp=sharing"",""พิจิตร!J94"")"),0)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5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IFERROR(__xludf.DUMMYFUNCTION("IMPORTRANGE(""https://docs.google.com/spreadsheets/d/11923uPwbBZFjjGgGUA6NLw09EwE0CqkOc4q9oUmW1yo/edit?usp=sharing"",""พิจิตร!J95"")"),1)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5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IFERROR(__xludf.DUMMYFUNCTION("IMPORTRANGE(""https://docs.google.com/spreadsheets/d/11923uPwbBZFjjGgGUA6NLw09EwE0CqkOc4q9oUmW1yo/edit?usp=sharing"",""พิจิตร!J96"")"),1)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5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IFERROR(__xludf.DUMMYFUNCTION("IMPORTRANGE(""https://docs.google.com/spreadsheets/d/11923uPwbBZFjjGgGUA6NLw09EwE0CqkOc4q9oUmW1yo/edit?usp=sharing"",""พิจิตร!J97"")"),1)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IFERROR(__xludf.DUMMYFUNCTION("IMPORTRANGE(""https://docs.google.com/spreadsheets/d/11923uPwbBZFjjGgGUA6NLw09EwE0CqkOc4q9oUmW1yo/edit?usp=sharing"",""พิจิตร!I98"")"),3)</f>
        <v>3</v>
      </c>
      <c r="J173" s="188">
        <f ca="1">IFERROR(__xludf.DUMMYFUNCTION("IMPORTRANGE(""https://docs.google.com/spreadsheets/d/11923uPwbBZFjjGgGUA6NLw09EwE0CqkOc4q9oUmW1yo/edit?usp=sharing"",""พิจิตร!J98"")"),0)</f>
        <v>0</v>
      </c>
      <c r="K173" s="163">
        <f ca="1">IF(I173&gt;0,J173*100/I173,0)</f>
        <v>0</v>
      </c>
      <c r="L173" s="168"/>
      <c r="M173" s="168"/>
      <c r="N173" s="167"/>
      <c r="O173" s="168"/>
      <c r="P173" s="168"/>
    </row>
    <row r="174" spans="1:16" ht="21.75" customHeight="1" x14ac:dyDescent="0.35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IFERROR(__xludf.DUMMYFUNCTION("IMPORTRANGE(""https://docs.google.com/spreadsheets/d/11923uPwbBZFjjGgGUA6NLw09EwE0CqkOc4q9oUmW1yo/edit?usp=sharing"",""พิจิตร!J99"")"),0)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5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IFERROR(__xludf.DUMMYFUNCTION("IMPORTRANGE(""https://docs.google.com/spreadsheets/d/11923uPwbBZFjjGgGUA6NLw09EwE0CqkOc4q9oUmW1yo/edit?usp=sharing"",""พิจิตร!J100"")"),0)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5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IFERROR(__xludf.DUMMYFUNCTION("IMPORTRANGE(""https://docs.google.com/spreadsheets/d/11923uPwbBZFjjGgGUA6NLw09EwE0CqkOc4q9oUmW1yo/edit?usp=sharing"",""พิจิตร!I101"")"),0)</f>
        <v>0</v>
      </c>
      <c r="J176" s="282">
        <f ca="1">IFERROR(__xludf.DUMMYFUNCTION("IMPORTRANGE(""https://docs.google.com/spreadsheets/d/11923uPwbBZFjjGgGUA6NLw09EwE0CqkOc4q9oUmW1yo/edit?usp=sharing"",""พิจิตร!J101"")"),0)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5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5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5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IFERROR(__xludf.DUMMYFUNCTION("IMPORTRANGE(""https://docs.google.com/spreadsheets/d/11923uPwbBZFjjGgGUA6NLw09EwE0CqkOc4q9oUmW1yo/edit?usp=sharing"",""พิจิตร!J106"")"),0)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5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IFERROR(__xludf.DUMMYFUNCTION("IMPORTRANGE(""https://docs.google.com/spreadsheets/d/11923uPwbBZFjjGgGUA6NLw09EwE0CqkOc4q9oUmW1yo/edit?usp=sharing"",""พิจิตร!J107"")"),0)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5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IFERROR(__xludf.DUMMYFUNCTION("IMPORTRANGE(""https://docs.google.com/spreadsheets/d/11923uPwbBZFjjGgGUA6NLw09EwE0CqkOc4q9oUmW1yo/edit?usp=sharing"",""พิจิตร!J108"")"),0)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5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IFERROR(__xludf.DUMMYFUNCTION("IMPORTRANGE(""https://docs.google.com/spreadsheets/d/11923uPwbBZFjjGgGUA6NLw09EwE0CqkOc4q9oUmW1yo/edit?usp=sharing"",""พิจิตร!J109"")"),0)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IFERROR(__xludf.DUMMYFUNCTION("IMPORTRANGE(""https://docs.google.com/spreadsheets/d/11923uPwbBZFjjGgGUA6NLw09EwE0CqkOc4q9oUmW1yo/edit?usp=sharing"",""พิจิตร!I110"")"),0)</f>
        <v>0</v>
      </c>
      <c r="J185" s="203">
        <f ca="1">IFERROR(__xludf.DUMMYFUNCTION("IMPORTRANGE(""https://docs.google.com/spreadsheets/d/11923uPwbBZFjjGgGUA6NLw09EwE0CqkOc4q9oUmW1yo/edit?usp=sharing"",""พิจิตร!J110"")"),0)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IFERROR(__xludf.DUMMYFUNCTION("IMPORTRANGE(""https://docs.google.com/spreadsheets/d/11923uPwbBZFjjGgGUA6NLw09EwE0CqkOc4q9oUmW1yo/edit?usp=sharing"",""พิจิตร!I111"")"),0)</f>
        <v>0</v>
      </c>
      <c r="J186" s="203">
        <f ca="1">IFERROR(__xludf.DUMMYFUNCTION("IMPORTRANGE(""https://docs.google.com/spreadsheets/d/11923uPwbBZFjjGgGUA6NLw09EwE0CqkOc4q9oUmW1yo/edit?usp=sharing"",""พิจิตร!J111"")"),0)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5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IFERROR(__xludf.DUMMYFUNCTION("IMPORTRANGE(""https://docs.google.com/spreadsheets/d/11923uPwbBZFjjGgGUA6NLw09EwE0CqkOc4q9oUmW1yo/edit?usp=sharing"",""พิจิตร!J112"")"),0)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5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IFERROR(__xludf.DUMMYFUNCTION("IMPORTRANGE(""https://docs.google.com/spreadsheets/d/11923uPwbBZFjjGgGUA6NLw09EwE0CqkOc4q9oUmW1yo/edit?usp=sharing"",""พิจิตร!J113"")"),0)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5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IFERROR(__xludf.DUMMYFUNCTION("IMPORTRANGE(""https://docs.google.com/spreadsheets/d/11923uPwbBZFjjGgGUA6NLw09EwE0CqkOc4q9oUmW1yo/edit?usp=sharing"",""พิจิตร!I114"")"),20000)</f>
        <v>20000</v>
      </c>
      <c r="J189" s="282">
        <f ca="1">IFERROR(__xludf.DUMMYFUNCTION("IMPORTRANGE(""https://docs.google.com/spreadsheets/d/11923uPwbBZFjjGgGUA6NLw09EwE0CqkOc4q9oUmW1yo/edit?usp=sharing"",""พิจิตร!J114"")"),0)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5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5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5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IFERROR(__xludf.DUMMYFUNCTION("IMPORTRANGE(""https://docs.google.com/spreadsheets/d/11923uPwbBZFjjGgGUA6NLw09EwE0CqkOc4q9oUmW1yo/edit?usp=sharing"",""พิจิตร!J119"")"),0)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5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IFERROR(__xludf.DUMMYFUNCTION("IMPORTRANGE(""https://docs.google.com/spreadsheets/d/11923uPwbBZFjjGgGUA6NLw09EwE0CqkOc4q9oUmW1yo/edit?usp=sharing"",""พิจิตร!J120"")"),1)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5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IFERROR(__xludf.DUMMYFUNCTION("IMPORTRANGE(""https://docs.google.com/spreadsheets/d/11923uPwbBZFjjGgGUA6NLw09EwE0CqkOc4q9oUmW1yo/edit?usp=sharing"",""พิจิตร!J121"")"),1)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5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IFERROR(__xludf.DUMMYFUNCTION("IMPORTRANGE(""https://docs.google.com/spreadsheets/d/11923uPwbBZFjjGgGUA6NLw09EwE0CqkOc4q9oUmW1yo/edit?usp=sharing"",""พิจิตร!J122"")"),1)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IFERROR(__xludf.DUMMYFUNCTION("IMPORTRANGE(""https://docs.google.com/spreadsheets/d/11923uPwbBZFjjGgGUA6NLw09EwE0CqkOc4q9oUmW1yo/edit?usp=sharing"",""พิจิตร!I124"")"),20000)</f>
        <v>20000</v>
      </c>
      <c r="J199" s="188">
        <f ca="1">IFERROR(__xludf.DUMMYFUNCTION("IMPORTRANGE(""https://docs.google.com/spreadsheets/d/11923uPwbBZFjjGgGUA6NLw09EwE0CqkOc4q9oUmW1yo/edit?usp=sharing"",""พิจิตร!J124"")"),0)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IFERROR(__xludf.DUMMYFUNCTION("IMPORTRANGE(""https://docs.google.com/spreadsheets/d/11923uPwbBZFjjGgGUA6NLw09EwE0CqkOc4q9oUmW1yo/edit?usp=sharing"",""พิจิตร!I125"")"),20000)</f>
        <v>20000</v>
      </c>
      <c r="J200" s="188">
        <f ca="1">IFERROR(__xludf.DUMMYFUNCTION("IMPORTRANGE(""https://docs.google.com/spreadsheets/d/11923uPwbBZFjjGgGUA6NLw09EwE0CqkOc4q9oUmW1yo/edit?usp=sharing"",""พิจิตร!J125"")"),0)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IFERROR(__xludf.DUMMYFUNCTION("IMPORTRANGE(""https://docs.google.com/spreadsheets/d/11923uPwbBZFjjGgGUA6NLw09EwE0CqkOc4q9oUmW1yo/edit?usp=sharing"",""พิจิตร!I126"")"),0)</f>
        <v>0</v>
      </c>
      <c r="J201" s="188">
        <f ca="1">IFERROR(__xludf.DUMMYFUNCTION("IMPORTRANGE(""https://docs.google.com/spreadsheets/d/11923uPwbBZFjjGgGUA6NLw09EwE0CqkOc4q9oUmW1yo/edit?usp=sharing"",""พิจิตร!J126"")"),0)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5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IFERROR(__xludf.DUMMYFUNCTION("IMPORTRANGE(""https://docs.google.com/spreadsheets/d/11923uPwbBZFjjGgGUA6NLw09EwE0CqkOc4q9oUmW1yo/edit?usp=sharing"",""พิจิตร!J127"")"),0)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5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IFERROR(__xludf.DUMMYFUNCTION("IMPORTRANGE(""https://docs.google.com/spreadsheets/d/11923uPwbBZFjjGgGUA6NLw09EwE0CqkOc4q9oUmW1yo/edit?usp=sharing"",""พิจิตร!J128"")"),0)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5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IFERROR(__xludf.DUMMYFUNCTION("IMPORTRANGE(""https://docs.google.com/spreadsheets/d/11923uPwbBZFjjGgGUA6NLw09EwE0CqkOc4q9oUmW1yo/edit?usp=sharing"",""พิจิตร!I129"")"),0)</f>
        <v>0</v>
      </c>
      <c r="J204" s="282">
        <f ca="1">IFERROR(__xludf.DUMMYFUNCTION("IMPORTRANGE(""https://docs.google.com/spreadsheets/d/11923uPwbBZFjjGgGUA6NLw09EwE0CqkOc4q9oUmW1yo/edit?usp=sharing"",""พิจิตร!J129"")"),0)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5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5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5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IFERROR(__xludf.DUMMYFUNCTION("IMPORTRANGE(""https://docs.google.com/spreadsheets/d/11923uPwbBZFjjGgGUA6NLw09EwE0CqkOc4q9oUmW1yo/edit?usp=sharing"",""พิจิตร!J134"")"),0)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5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IFERROR(__xludf.DUMMYFUNCTION("IMPORTRANGE(""https://docs.google.com/spreadsheets/d/11923uPwbBZFjjGgGUA6NLw09EwE0CqkOc4q9oUmW1yo/edit?usp=sharing"",""พิจิตร!J135"")"),0)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5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IFERROR(__xludf.DUMMYFUNCTION("IMPORTRANGE(""https://docs.google.com/spreadsheets/d/11923uPwbBZFjjGgGUA6NLw09EwE0CqkOc4q9oUmW1yo/edit?usp=sharing"",""พิจิตร!J136"")"),0)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5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IFERROR(__xludf.DUMMYFUNCTION("IMPORTRANGE(""https://docs.google.com/spreadsheets/d/11923uPwbBZFjjGgGUA6NLw09EwE0CqkOc4q9oUmW1yo/edit?usp=sharing"",""พิจิตร!J137"")"),0)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IFERROR(__xludf.DUMMYFUNCTION("IMPORTRANGE(""https://docs.google.com/spreadsheets/d/11923uPwbBZFjjGgGUA6NLw09EwE0CqkOc4q9oUmW1yo/edit?usp=sharing"",""พิจิตร!I138"")"),0)</f>
        <v>0</v>
      </c>
      <c r="J213" s="203">
        <f ca="1">IFERROR(__xludf.DUMMYFUNCTION("IMPORTRANGE(""https://docs.google.com/spreadsheets/d/11923uPwbBZFjjGgGUA6NLw09EwE0CqkOc4q9oUmW1yo/edit?usp=sharing"",""พิจิตร!J138"")"),0)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5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5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IFERROR(__xludf.DUMMYFUNCTION("IMPORTRANGE(""https://docs.google.com/spreadsheets/d/11923uPwbBZFjjGgGUA6NLw09EwE0CqkOc4q9oUmW1yo/edit?usp=sharing"",""พิจิตร!I140"")"),0)</f>
        <v>0</v>
      </c>
      <c r="J215" s="203">
        <f ca="1">IFERROR(__xludf.DUMMYFUNCTION("IMPORTRANGE(""https://docs.google.com/spreadsheets/d/11923uPwbBZFjjGgGUA6NLw09EwE0CqkOc4q9oUmW1yo/edit?usp=sharing"",""พิจิตร!J140"")"),0)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5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IFERROR(__xludf.DUMMYFUNCTION("IMPORTRANGE(""https://docs.google.com/spreadsheets/d/11923uPwbBZFjjGgGUA6NLw09EwE0CqkOc4q9oUmW1yo/edit?usp=sharing"",""พิจิตร!I141"")"),0)</f>
        <v>0</v>
      </c>
      <c r="J216" s="203">
        <f ca="1">IFERROR(__xludf.DUMMYFUNCTION("IMPORTRANGE(""https://docs.google.com/spreadsheets/d/11923uPwbBZFjjGgGUA6NLw09EwE0CqkOc4q9oUmW1yo/edit?usp=sharing"",""พิจิตร!J141"")"),0)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5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IFERROR(__xludf.DUMMYFUNCTION("IMPORTRANGE(""https://docs.google.com/spreadsheets/d/11923uPwbBZFjjGgGUA6NLw09EwE0CqkOc4q9oUmW1yo/edit?usp=sharing"",""พิจิตร!J142"")"),0)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5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IFERROR(__xludf.DUMMYFUNCTION("IMPORTRANGE(""https://docs.google.com/spreadsheets/d/11923uPwbBZFjjGgGUA6NLw09EwE0CqkOc4q9oUmW1yo/edit?usp=sharing"",""พิจิตร!J143"")"),0)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5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IFERROR(__xludf.DUMMYFUNCTION("IMPORTRANGE(""https://docs.google.com/spreadsheets/d/11923uPwbBZFjjGgGUA6NLw09EwE0CqkOc4q9oUmW1yo/edit?usp=sharing"",""พิจิตร!I144"")"),15)</f>
        <v>15</v>
      </c>
      <c r="J219" s="266">
        <f ca="1">IFERROR(__xludf.DUMMYFUNCTION("IMPORTRANGE(""https://docs.google.com/spreadsheets/d/11923uPwbBZFjjGgGUA6NLw09EwE0CqkOc4q9oUmW1yo/edit?usp=sharing"",""พิจิตร!J144"")"),15)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0</v>
      </c>
      <c r="O220" s="150">
        <f t="shared" ref="O220:O222" ca="1" si="73">IF(L220&gt;0,N220*100/L220,0)</f>
        <v>0</v>
      </c>
      <c r="P220" s="150">
        <f t="shared" ref="P220:P222" ca="1" si="74">IF(M220&gt;0,N220*100/M220,0)</f>
        <v>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0</v>
      </c>
      <c r="O222" s="155">
        <f t="shared" ca="1" si="73"/>
        <v>0</v>
      </c>
      <c r="P222" s="155">
        <f t="shared" ca="1" si="74"/>
        <v>0</v>
      </c>
    </row>
    <row r="223" spans="1:16" ht="21.75" customHeight="1" x14ac:dyDescent="0.35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IFERROR(__xludf.DUMMYFUNCTION("IMPORTRANGE(""https://docs.google.com/spreadsheets/d/1Yj_ptqi66GCucihVvJfMjLAmec39IyEx_6qawtMGysU/edit?usp=sharing"",""สบก!BS27"")"),21125)</f>
        <v>21125</v>
      </c>
      <c r="N224" s="168">
        <f ca="1">IFERROR(__xludf.DUMMYFUNCTION("IMPORTRANGE(""https://docs.google.com/spreadsheets/d/1Yj_ptqi66GCucihVvJfMjLAmec39IyEx_6qawtMGysU/edit?usp=sharing"",""สบก!BT27"")"),0)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35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IFERROR(__xludf.DUMMYFUNCTION("IMPORTRANGE(""https://docs.google.com/spreadsheets/d/1Yj_ptqi66GCucihVvJfMjLAmec39IyEx_6qawtMGysU/edit?usp=sharing"",""สบก!BO27"")"),0)</f>
        <v>0</v>
      </c>
      <c r="M225" s="167"/>
      <c r="N225" s="167"/>
      <c r="O225" s="168"/>
      <c r="P225" s="168"/>
    </row>
    <row r="226" spans="1:16" ht="21.75" customHeight="1" x14ac:dyDescent="0.35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IFERROR(__xludf.DUMMYFUNCTION("IMPORTRANGE(""https://docs.google.com/spreadsheets/d/1Yj_ptqi66GCucihVvJfMjLAmec39IyEx_6qawtMGysU/edit?usp=sharing"",""สบก!BP27"")"),21125)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IFERROR(__xludf.DUMMYFUNCTION("IMPORTRANGE(""https://docs.google.com/spreadsheets/d/1Yj_ptqi66GCucihVvJfMjLAmec39IyEx_6qawtMGysU/edit?usp=sharing"",""สบก!BQ27"")"),0)</f>
        <v>0</v>
      </c>
      <c r="M228" s="49"/>
      <c r="N228" s="49">
        <f ca="1">IFERROR(__xludf.DUMMYFUNCTION("IMPORTRANGE(""https://docs.google.com/spreadsheets/d/1Yj_ptqi66GCucihVvJfMjLAmec39IyEx_6qawtMGysU/edit?usp=sharing"",""สบก!BU27"")"),0)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IFERROR(__xludf.DUMMYFUNCTION("IMPORTRANGE(""https://docs.google.com/spreadsheets/d/11923uPwbBZFjjGgGUA6NLw09EwE0CqkOc4q9oUmW1yo/edit?usp=sharing"",""พิจิตร!I149"")"),15)</f>
        <v>15</v>
      </c>
      <c r="J229" s="266">
        <f ca="1">IFERROR(__xludf.DUMMYFUNCTION("IMPORTRANGE(""https://docs.google.com/spreadsheets/d/11923uPwbBZFjjGgGUA6NLw09EwE0CqkOc4q9oUmW1yo/edit?usp=sharing"",""พิจิตร!J149"")"),15)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5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5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IFERROR(__xludf.DUMMYFUNCTION("IMPORTRANGE(""https://docs.google.com/spreadsheets/d/11923uPwbBZFjjGgGUA6NLw09EwE0CqkOc4q9oUmW1yo/edit?usp=sharing"",""พิจิตร!J151"")"),0)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5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IFERROR(__xludf.DUMMYFUNCTION("IMPORTRANGE(""https://docs.google.com/spreadsheets/d/11923uPwbBZFjjGgGUA6NLw09EwE0CqkOc4q9oUmW1yo/edit?usp=sharing"",""พิจิตร!J152"")"),1)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5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IFERROR(__xludf.DUMMYFUNCTION("IMPORTRANGE(""https://docs.google.com/spreadsheets/d/11923uPwbBZFjjGgGUA6NLw09EwE0CqkOc4q9oUmW1yo/edit?usp=sharing"",""พิจิตร!J153"")"),1)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5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IFERROR(__xludf.DUMMYFUNCTION("IMPORTRANGE(""https://docs.google.com/spreadsheets/d/11923uPwbBZFjjGgGUA6NLw09EwE0CqkOc4q9oUmW1yo/edit?usp=sharing"",""พิจิตร!J154"")"),1)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5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IFERROR(__xludf.DUMMYFUNCTION("IMPORTRANGE(""https://docs.google.com/spreadsheets/d/11923uPwbBZFjjGgGUA6NLw09EwE0CqkOc4q9oUmW1yo/edit?usp=sharing"",""พิจิตร!I155"")"),15)</f>
        <v>15</v>
      </c>
      <c r="J235" s="188">
        <f ca="1">IFERROR(__xludf.DUMMYFUNCTION("IMPORTRANGE(""https://docs.google.com/spreadsheets/d/11923uPwbBZFjjGgGUA6NLw09EwE0CqkOc4q9oUmW1yo/edit?usp=sharing"",""พิจิตร!J155"")"),15)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5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IFERROR(__xludf.DUMMYFUNCTION("IMPORTRANGE(""https://docs.google.com/spreadsheets/d/11923uPwbBZFjjGgGUA6NLw09EwE0CqkOc4q9oUmW1yo/edit?usp=sharing"",""พิจิตร!J156"")"),0)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5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IFERROR(__xludf.DUMMYFUNCTION("IMPORTRANGE(""https://docs.google.com/spreadsheets/d/11923uPwbBZFjjGgGUA6NLw09EwE0CqkOc4q9oUmW1yo/edit?usp=sharing"",""พิจิตร!J157"")"),0)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5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IFERROR(__xludf.DUMMYFUNCTION("IMPORTRANGE(""https://docs.google.com/spreadsheets/d/11923uPwbBZFjjGgGUA6NLw09EwE0CqkOc4q9oUmW1yo/edit?usp=sharing"",""พิจิตร!I158"")"),0)</f>
        <v>0</v>
      </c>
      <c r="J238" s="266">
        <f ca="1">IFERROR(__xludf.DUMMYFUNCTION("IMPORTRANGE(""https://docs.google.com/spreadsheets/d/11923uPwbBZFjjGgGUA6NLw09EwE0CqkOc4q9oUmW1yo/edit?usp=sharing"",""พิจิตร!J158"")"),0)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5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5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IFERROR(__xludf.DUMMYFUNCTION("IMPORTRANGE(""https://docs.google.com/spreadsheets/d/11923uPwbBZFjjGgGUA6NLw09EwE0CqkOc4q9oUmW1yo/edit?usp=sharing"",""พิจิตร!J159"")"),"")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5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IFERROR(__xludf.DUMMYFUNCTION("IMPORTRANGE(""https://docs.google.com/spreadsheets/d/11923uPwbBZFjjGgGUA6NLw09EwE0CqkOc4q9oUmW1yo/edit?usp=sharing"",""พิจิตร!J161"")"),0)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5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IFERROR(__xludf.DUMMYFUNCTION("IMPORTRANGE(""https://docs.google.com/spreadsheets/d/11923uPwbBZFjjGgGUA6NLw09EwE0CqkOc4q9oUmW1yo/edit?usp=sharing"",""พิจิตร!J162"")"),0)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5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IFERROR(__xludf.DUMMYFUNCTION("IMPORTRANGE(""https://docs.google.com/spreadsheets/d/11923uPwbBZFjjGgGUA6NLw09EwE0CqkOc4q9oUmW1yo/edit?usp=sharing"",""พิจิตร!J163"")"),0)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IFERROR(__xludf.DUMMYFUNCTION("IMPORTRANGE(""https://docs.google.com/spreadsheets/d/11923uPwbBZFjjGgGUA6NLw09EwE0CqkOc4q9oUmW1yo/edit?usp=sharing"",""พิจิตร!I164"")"),0)</f>
        <v>0</v>
      </c>
      <c r="J244" s="187">
        <f ca="1">IFERROR(__xludf.DUMMYFUNCTION("IMPORTRANGE(""https://docs.google.com/spreadsheets/d/11923uPwbBZFjjGgGUA6NLw09EwE0CqkOc4q9oUmW1yo/edit?usp=sharing"",""พิจิตร!J164"")"),0)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5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IFERROR(__xludf.DUMMYFUNCTION("IMPORTRANGE(""https://docs.google.com/spreadsheets/d/11923uPwbBZFjjGgGUA6NLw09EwE0CqkOc4q9oUmW1yo/edit?usp=sharing"",""พิจิตร!J165"")"),0)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5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IFERROR(__xludf.DUMMYFUNCTION("IMPORTRANGE(""https://docs.google.com/spreadsheets/d/11923uPwbBZFjjGgGUA6NLw09EwE0CqkOc4q9oUmW1yo/edit?usp=sharing"",""พิจิตร!J166"")"),0)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5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5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5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IFERROR(__xludf.DUMMYFUNCTION("IMPORTRANGE(""https://docs.google.com/spreadsheets/d/11923uPwbBZFjjGgGUA6NLw09EwE0CqkOc4q9oUmW1yo/edit?usp=sharing"",""พิจิตร!I169"")"),0)</f>
        <v>0</v>
      </c>
      <c r="J249" s="314">
        <f ca="1">IFERROR(__xludf.DUMMYFUNCTION("IMPORTRANGE(""https://docs.google.com/spreadsheets/d/11923uPwbBZFjjGgGUA6NLw09EwE0CqkOc4q9oUmW1yo/edit?usp=sharing"",""พิจิตร!J169"")"),0)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5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IFERROR(__xludf.DUMMYFUNCTION("IMPORTRANGE(""https://docs.google.com/spreadsheets/d/1Yj_ptqi66GCucihVvJfMjLAmec39IyEx_6qawtMGysU/edit?usp=sharing"",""สบก!CB27"")"),0)</f>
        <v>0</v>
      </c>
      <c r="N254" s="168">
        <f ca="1">IFERROR(__xludf.DUMMYFUNCTION("IMPORTRANGE(""https://docs.google.com/spreadsheets/d/1Yj_ptqi66GCucihVvJfMjLAmec39IyEx_6qawtMGysU/edit?usp=sharing"",""สบก!CC27"")"),0)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5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IFERROR(__xludf.DUMMYFUNCTION("IMPORTRANGE(""https://docs.google.com/spreadsheets/d/1Yj_ptqi66GCucihVvJfMjLAmec39IyEx_6qawtMGysU/edit?usp=sharing"",""สบก!BX27"")"),0)</f>
        <v>0</v>
      </c>
      <c r="M255" s="167"/>
      <c r="N255" s="167"/>
      <c r="O255" s="168"/>
      <c r="P255" s="168"/>
    </row>
    <row r="256" spans="1:16" ht="21.75" customHeight="1" x14ac:dyDescent="0.35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IFERROR(__xludf.DUMMYFUNCTION("IMPORTRANGE(""https://docs.google.com/spreadsheets/d/1Yj_ptqi66GCucihVvJfMjLAmec39IyEx_6qawtMGysU/edit?usp=sharing"",""สบก!BY27"")"),0)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IFERROR(__xludf.DUMMYFUNCTION("IMPORTRANGE(""https://docs.google.com/spreadsheets/d/1Yj_ptqi66GCucihVvJfMjLAmec39IyEx_6qawtMGysU/edit?usp=sharing"",""สบก!BZ27"")"),0)</f>
        <v>0</v>
      </c>
      <c r="M258" s="49"/>
      <c r="N258" s="49">
        <f ca="1">IFERROR(__xludf.DUMMYFUNCTION("IMPORTRANGE(""https://docs.google.com/spreadsheets/d/1Yj_ptqi66GCucihVvJfMjLAmec39IyEx_6qawtMGysU/edit?usp=sharing"",""สบก!CD27"")"),0)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5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IFERROR(__xludf.DUMMYFUNCTION("IMPORTRANGE(""https://docs.google.com/spreadsheets/d/11923uPwbBZFjjGgGUA6NLw09EwE0CqkOc4q9oUmW1yo/edit?usp=sharing"",""พิจิตร!J175"")"),0)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5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IFERROR(__xludf.DUMMYFUNCTION("IMPORTRANGE(""https://docs.google.com/spreadsheets/d/11923uPwbBZFjjGgGUA6NLw09EwE0CqkOc4q9oUmW1yo/edit?usp=sharing"",""พิจิตร!J176"")"),0)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5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IFERROR(__xludf.DUMMYFUNCTION("IMPORTRANGE(""https://docs.google.com/spreadsheets/d/11923uPwbBZFjjGgGUA6NLw09EwE0CqkOc4q9oUmW1yo/edit?usp=sharing"",""พิจิตร!J177"")"),0)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5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IFERROR(__xludf.DUMMYFUNCTION("IMPORTRANGE(""https://docs.google.com/spreadsheets/d/11923uPwbBZFjjGgGUA6NLw09EwE0CqkOc4q9oUmW1yo/edit?usp=sharing"",""พิจิตร!J178"")"),0)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IFERROR(__xludf.DUMMYFUNCTION("IMPORTRANGE(""https://docs.google.com/spreadsheets/d/11923uPwbBZFjjGgGUA6NLw09EwE0CqkOc4q9oUmW1yo/edit?usp=sharing"",""พิจิตร!I179"")"),0)</f>
        <v>0</v>
      </c>
      <c r="J264" s="188">
        <f ca="1">IFERROR(__xludf.DUMMYFUNCTION("IMPORTRANGE(""https://docs.google.com/spreadsheets/d/11923uPwbBZFjjGgGUA6NLw09EwE0CqkOc4q9oUmW1yo/edit?usp=sharing"",""พิจิตร!J179"")"),0)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IFERROR(__xludf.DUMMYFUNCTION("IMPORTRANGE(""https://docs.google.com/spreadsheets/d/11923uPwbBZFjjGgGUA6NLw09EwE0CqkOc4q9oUmW1yo/edit?usp=sharing"",""พิจิตร!I180"")"),0)</f>
        <v>0</v>
      </c>
      <c r="J265" s="188">
        <f ca="1">IFERROR(__xludf.DUMMYFUNCTION("IMPORTRANGE(""https://docs.google.com/spreadsheets/d/11923uPwbBZFjjGgGUA6NLw09EwE0CqkOc4q9oUmW1yo/edit?usp=sharing"",""พิจิตร!J180"")"),0)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IFERROR(__xludf.DUMMYFUNCTION("IMPORTRANGE(""https://docs.google.com/spreadsheets/d/11923uPwbBZFjjGgGUA6NLw09EwE0CqkOc4q9oUmW1yo/edit?usp=sharing"",""พิจิตร!I181"")"),0)</f>
        <v>0</v>
      </c>
      <c r="J266" s="188">
        <f ca="1">IFERROR(__xludf.DUMMYFUNCTION("IMPORTRANGE(""https://docs.google.com/spreadsheets/d/11923uPwbBZFjjGgGUA6NLw09EwE0CqkOc4q9oUmW1yo/edit?usp=sharing"",""พิจิตร!J181"")"),0)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IFERROR(__xludf.DUMMYFUNCTION("IMPORTRANGE(""https://docs.google.com/spreadsheets/d/11923uPwbBZFjjGgGUA6NLw09EwE0CqkOc4q9oUmW1yo/edit?usp=sharing"",""พิจิตร!I182"")"),0)</f>
        <v>0</v>
      </c>
      <c r="J267" s="188">
        <f ca="1">IFERROR(__xludf.DUMMYFUNCTION("IMPORTRANGE(""https://docs.google.com/spreadsheets/d/11923uPwbBZFjjGgGUA6NLw09EwE0CqkOc4q9oUmW1yo/edit?usp=sharing"",""พิจิตร!J182"")"),0)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5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IFERROR(__xludf.DUMMYFUNCTION("IMPORTRANGE(""https://docs.google.com/spreadsheets/d/11923uPwbBZFjjGgGUA6NLw09EwE0CqkOc4q9oUmW1yo/edit?usp=sharing"",""พิจิตร!J183"")"),0)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5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IFERROR(__xludf.DUMMYFUNCTION("IMPORTRANGE(""https://docs.google.com/spreadsheets/d/11923uPwbBZFjjGgGUA6NLw09EwE0CqkOc4q9oUmW1yo/edit?usp=sharing"",""พิจิตร!J184"")"),0)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5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IFERROR(__xludf.DUMMYFUNCTION("IMPORTRANGE(""https://docs.google.com/spreadsheets/d/11923uPwbBZFjjGgGUA6NLw09EwE0CqkOc4q9oUmW1yo/edit?usp=sharing"",""พิจิตร!I185"")"),0)</f>
        <v>0</v>
      </c>
      <c r="J270" s="314">
        <f ca="1">IFERROR(__xludf.DUMMYFUNCTION("IMPORTRANGE(""https://docs.google.com/spreadsheets/d/11923uPwbBZFjjGgGUA6NLw09EwE0CqkOc4q9oUmW1yo/edit?usp=sharing"",""พิจิตร!J185"")"),0)</f>
        <v>0</v>
      </c>
      <c r="K270" s="315">
        <f ca="1">IF(I270&gt;0,J270*100/I270,0)</f>
        <v>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0</v>
      </c>
      <c r="M271" s="151">
        <f t="shared" ca="1" si="83"/>
        <v>0</v>
      </c>
      <c r="N271" s="151">
        <f t="shared" ca="1" si="83"/>
        <v>0</v>
      </c>
      <c r="O271" s="150">
        <f t="shared" ref="O271:O273" ca="1" si="84">IF(L271&gt;0,N271*100/L271,0)</f>
        <v>0</v>
      </c>
      <c r="P271" s="150">
        <f t="shared" ref="P271:P273" ca="1" si="85">IF(M271&gt;0,N271*100/M271,0)</f>
        <v>0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0</v>
      </c>
      <c r="M273" s="87">
        <f t="shared" ca="1" si="87"/>
        <v>0</v>
      </c>
      <c r="N273" s="87">
        <f t="shared" ca="1" si="87"/>
        <v>0</v>
      </c>
      <c r="O273" s="155">
        <f t="shared" ca="1" si="84"/>
        <v>0</v>
      </c>
      <c r="P273" s="155">
        <f t="shared" ca="1" si="85"/>
        <v>0</v>
      </c>
    </row>
    <row r="274" spans="1:16" ht="21.75" customHeight="1" x14ac:dyDescent="0.35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IFERROR(__xludf.DUMMYFUNCTION("IMPORTRANGE(""https://docs.google.com/spreadsheets/d/1Yj_ptqi66GCucihVvJfMjLAmec39IyEx_6qawtMGysU/edit?usp=sharing"",""สบก!CK27"")"),0)</f>
        <v>0</v>
      </c>
      <c r="N275" s="168">
        <f ca="1">IFERROR(__xludf.DUMMYFUNCTION("IMPORTRANGE(""https://docs.google.com/spreadsheets/d/1Yj_ptqi66GCucihVvJfMjLAmec39IyEx_6qawtMGysU/edit?usp=sharing"",""สบก!CL27"")"),0)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35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IFERROR(__xludf.DUMMYFUNCTION("IMPORTRANGE(""https://docs.google.com/spreadsheets/d/1Yj_ptqi66GCucihVvJfMjLAmec39IyEx_6qawtMGysU/edit?usp=sharing"",""สบก!CG27"")"),0)</f>
        <v>0</v>
      </c>
      <c r="M276" s="167"/>
      <c r="N276" s="167"/>
      <c r="O276" s="168"/>
      <c r="P276" s="168"/>
    </row>
    <row r="277" spans="1:16" ht="21.75" customHeight="1" x14ac:dyDescent="0.35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IFERROR(__xludf.DUMMYFUNCTION("IMPORTRANGE(""https://docs.google.com/spreadsheets/d/1Yj_ptqi66GCucihVvJfMjLAmec39IyEx_6qawtMGysU/edit?usp=sharing"",""สบก!CH27"")"),0)</f>
        <v>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IFERROR(__xludf.DUMMYFUNCTION("IMPORTRANGE(""https://docs.google.com/spreadsheets/d/1Yj_ptqi66GCucihVvJfMjLAmec39IyEx_6qawtMGysU/edit?usp=sharing"",""สบก!CI27"")"),0)</f>
        <v>0</v>
      </c>
      <c r="M279" s="49"/>
      <c r="N279" s="49">
        <f ca="1">IFERROR(__xludf.DUMMYFUNCTION("IMPORTRANGE(""https://docs.google.com/spreadsheets/d/1Yj_ptqi66GCucihVvJfMjLAmec39IyEx_6qawtMGysU/edit?usp=sharing"",""สบก!CM27"")"),0)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5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IFERROR(__xludf.DUMMYFUNCTION("IMPORTRANGE(""https://docs.google.com/spreadsheets/d/11923uPwbBZFjjGgGUA6NLw09EwE0CqkOc4q9oUmW1yo/edit?usp=sharing"",""พิจิตร!J191"")"),0)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5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IFERROR(__xludf.DUMMYFUNCTION("IMPORTRANGE(""https://docs.google.com/spreadsheets/d/11923uPwbBZFjjGgGUA6NLw09EwE0CqkOc4q9oUmW1yo/edit?usp=sharing"",""พิจิตร!J192"")"),0)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35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IFERROR(__xludf.DUMMYFUNCTION("IMPORTRANGE(""https://docs.google.com/spreadsheets/d/11923uPwbBZFjjGgGUA6NLw09EwE0CqkOc4q9oUmW1yo/edit?usp=sharing"",""พิจิตร!J193"")"),0)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35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IFERROR(__xludf.DUMMYFUNCTION("IMPORTRANGE(""https://docs.google.com/spreadsheets/d/11923uPwbBZFjjGgGUA6NLw09EwE0CqkOc4q9oUmW1yo/edit?usp=sharing"",""พิจิตร!J194"")"),0)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IFERROR(__xludf.DUMMYFUNCTION("IMPORTRANGE(""https://docs.google.com/spreadsheets/d/11923uPwbBZFjjGgGUA6NLw09EwE0CqkOc4q9oUmW1yo/edit?usp=sharing"",""พิจิตร!I195"")"),0)</f>
        <v>0</v>
      </c>
      <c r="J285" s="188">
        <f ca="1">IFERROR(__xludf.DUMMYFUNCTION("IMPORTRANGE(""https://docs.google.com/spreadsheets/d/11923uPwbBZFjjGgGUA6NLw09EwE0CqkOc4q9oUmW1yo/edit?usp=sharing"",""พิจิตร!J195"")"),0)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35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IFERROR(__xludf.DUMMYFUNCTION("IMPORTRANGE(""https://docs.google.com/spreadsheets/d/11923uPwbBZFjjGgGUA6NLw09EwE0CqkOc4q9oUmW1yo/edit?usp=sharing"",""พิจิตร!J196"")"),0)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5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IFERROR(__xludf.DUMMYFUNCTION("IMPORTRANGE(""https://docs.google.com/spreadsheets/d/11923uPwbBZFjjGgGUA6NLw09EwE0CqkOc4q9oUmW1yo/edit?usp=sharing"",""พิจิตร!J197"")"),0)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5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5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IFERROR(__xludf.DUMMYFUNCTION("IMPORTRANGE(""https://docs.google.com/spreadsheets/d/11923uPwbBZFjjGgGUA6NLw09EwE0CqkOc4q9oUmW1yo/edit?usp=sharing"",""พิจิตร!I199"")"),0)</f>
        <v>0</v>
      </c>
      <c r="J289" s="314">
        <f ca="1">IFERROR(__xludf.DUMMYFUNCTION("IMPORTRANGE(""https://docs.google.com/spreadsheets/d/11923uPwbBZFjjGgGUA6NLw09EwE0CqkOc4q9oUmW1yo/edit?usp=sharing"",""พิจิตร!J199"")"),0)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5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IFERROR(__xludf.DUMMYFUNCTION("IMPORTRANGE(""https://docs.google.com/spreadsheets/d/1Yj_ptqi66GCucihVvJfMjLAmec39IyEx_6qawtMGysU/edit?usp=sharing"",""สบก!CT27"")"),0)</f>
        <v>0</v>
      </c>
      <c r="N294" s="168">
        <f ca="1">IFERROR(__xludf.DUMMYFUNCTION("IMPORTRANGE(""https://docs.google.com/spreadsheets/d/1Yj_ptqi66GCucihVvJfMjLAmec39IyEx_6qawtMGysU/edit?usp=sharing"",""สบก!CU27"")"),0)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5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IFERROR(__xludf.DUMMYFUNCTION("IMPORTRANGE(""https://docs.google.com/spreadsheets/d/1Yj_ptqi66GCucihVvJfMjLAmec39IyEx_6qawtMGysU/edit?usp=sharing"",""สบก!CP27"")"),0)</f>
        <v>0</v>
      </c>
      <c r="M295" s="167"/>
      <c r="N295" s="167"/>
      <c r="O295" s="168"/>
      <c r="P295" s="168"/>
    </row>
    <row r="296" spans="1:16" ht="21.75" customHeight="1" x14ac:dyDescent="0.35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IFERROR(__xludf.DUMMYFUNCTION("IMPORTRANGE(""https://docs.google.com/spreadsheets/d/1Yj_ptqi66GCucihVvJfMjLAmec39IyEx_6qawtMGysU/edit?usp=sharing"",""สบก!CQ27"")"),0)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IFERROR(__xludf.DUMMYFUNCTION("IMPORTRANGE(""https://docs.google.com/spreadsheets/d/1Yj_ptqi66GCucihVvJfMjLAmec39IyEx_6qawtMGysU/edit?usp=sharing"",""สบก!CR27"")"),0)</f>
        <v>0</v>
      </c>
      <c r="M298" s="49"/>
      <c r="N298" s="49">
        <f ca="1">IFERROR(__xludf.DUMMYFUNCTION("IMPORTRANGE(""https://docs.google.com/spreadsheets/d/1Yj_ptqi66GCucihVvJfMjLAmec39IyEx_6qawtMGysU/edit?usp=sharing"",""สบก!CV27"")"),0)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5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IFERROR(__xludf.DUMMYFUNCTION("IMPORTRANGE(""https://docs.google.com/spreadsheets/d/11923uPwbBZFjjGgGUA6NLw09EwE0CqkOc4q9oUmW1yo/edit?usp=sharing"",""พิจิตร!J205"")"),0)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5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IFERROR(__xludf.DUMMYFUNCTION("IMPORTRANGE(""https://docs.google.com/spreadsheets/d/11923uPwbBZFjjGgGUA6NLw09EwE0CqkOc4q9oUmW1yo/edit?usp=sharing"",""พิจิตร!J206"")"),0)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5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IFERROR(__xludf.DUMMYFUNCTION("IMPORTRANGE(""https://docs.google.com/spreadsheets/d/11923uPwbBZFjjGgGUA6NLw09EwE0CqkOc4q9oUmW1yo/edit?usp=sharing"",""พิจิตร!J207"")"),0)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5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IFERROR(__xludf.DUMMYFUNCTION("IMPORTRANGE(""https://docs.google.com/spreadsheets/d/11923uPwbBZFjjGgGUA6NLw09EwE0CqkOc4q9oUmW1yo/edit?usp=sharing"",""พิจิตร!J208"")"),0)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IFERROR(__xludf.DUMMYFUNCTION("IMPORTRANGE(""https://docs.google.com/spreadsheets/d/11923uPwbBZFjjGgGUA6NLw09EwE0CqkOc4q9oUmW1yo/edit?usp=sharing"",""พิจิตร!I209"")"),0)</f>
        <v>0</v>
      </c>
      <c r="J304" s="203">
        <f ca="1">IFERROR(__xludf.DUMMYFUNCTION("IMPORTRANGE(""https://docs.google.com/spreadsheets/d/11923uPwbBZFjjGgGUA6NLw09EwE0CqkOc4q9oUmW1yo/edit?usp=sharing"",""พิจิตร!J209"")"),0)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5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IFERROR(__xludf.DUMMYFUNCTION("IMPORTRANGE(""https://docs.google.com/spreadsheets/d/11923uPwbBZFjjGgGUA6NLw09EwE0CqkOc4q9oUmW1yo/edit?usp=sharing"",""พิจิตร!I211"")"),0)</f>
        <v>0</v>
      </c>
      <c r="J306" s="203">
        <f ca="1">IFERROR(__xludf.DUMMYFUNCTION("IMPORTRANGE(""https://docs.google.com/spreadsheets/d/11923uPwbBZFjjGgGUA6NLw09EwE0CqkOc4q9oUmW1yo/edit?usp=sharing"",""พิจิตร!J211"")"),0)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5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IFERROR(__xludf.DUMMYFUNCTION("IMPORTRANGE(""https://docs.google.com/spreadsheets/d/11923uPwbBZFjjGgGUA6NLw09EwE0CqkOc4q9oUmW1yo/edit?usp=sharing"",""พิจิตร!J212"")"),0)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5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IFERROR(__xludf.DUMMYFUNCTION("IMPORTRANGE(""https://docs.google.com/spreadsheets/d/11923uPwbBZFjjGgGUA6NLw09EwE0CqkOc4q9oUmW1yo/edit?usp=sharing"",""พิจิตร!J213"")"),0)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5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IFERROR(__xludf.DUMMYFUNCTION("IMPORTRANGE(""https://docs.google.com/spreadsheets/d/11923uPwbBZFjjGgGUA6NLw09EwE0CqkOc4q9oUmW1yo/edit?usp=sharing"",""พิจิตร!I214"")"),0)</f>
        <v>0</v>
      </c>
      <c r="J309" s="331">
        <f ca="1">IFERROR(__xludf.DUMMYFUNCTION("IMPORTRANGE(""https://docs.google.com/spreadsheets/d/11923uPwbBZFjjGgGUA6NLw09EwE0CqkOc4q9oUmW1yo/edit?usp=sharing"",""พิจิตร!J214"")"),0)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5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IFERROR(__xludf.DUMMYFUNCTION("IMPORTRANGE(""https://docs.google.com/spreadsheets/d/1Yj_ptqi66GCucihVvJfMjLAmec39IyEx_6qawtMGysU/edit?usp=sharing"",""สบก!DC27"")"),0)</f>
        <v>0</v>
      </c>
      <c r="N314" s="168">
        <f ca="1">IFERROR(__xludf.DUMMYFUNCTION("IMPORTRANGE(""https://docs.google.com/spreadsheets/d/1Yj_ptqi66GCucihVvJfMjLAmec39IyEx_6qawtMGysU/edit?usp=sharing"",""สบก!DD27"")"),0)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5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IFERROR(__xludf.DUMMYFUNCTION("IMPORTRANGE(""https://docs.google.com/spreadsheets/d/1Yj_ptqi66GCucihVvJfMjLAmec39IyEx_6qawtMGysU/edit?usp=sharing"",""สบก!CY27"")"),0)</f>
        <v>0</v>
      </c>
      <c r="M315" s="167"/>
      <c r="N315" s="167"/>
      <c r="O315" s="168"/>
      <c r="P315" s="168"/>
    </row>
    <row r="316" spans="1:16" ht="21.75" customHeight="1" x14ac:dyDescent="0.35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IFERROR(__xludf.DUMMYFUNCTION("IMPORTRANGE(""https://docs.google.com/spreadsheets/d/1Yj_ptqi66GCucihVvJfMjLAmec39IyEx_6qawtMGysU/edit?usp=sharing"",""สบก!CZ27"")"),0)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IFERROR(__xludf.DUMMYFUNCTION("IMPORTRANGE(""https://docs.google.com/spreadsheets/d/1Yj_ptqi66GCucihVvJfMjLAmec39IyEx_6qawtMGysU/edit?usp=sharing"",""สบก!DA27"")"),0)</f>
        <v>0</v>
      </c>
      <c r="M318" s="49"/>
      <c r="N318" s="49">
        <f ca="1">IFERROR(__xludf.DUMMYFUNCTION("IMPORTRANGE(""https://docs.google.com/spreadsheets/d/1Yj_ptqi66GCucihVvJfMjLAmec39IyEx_6qawtMGysU/edit?usp=sharing"",""สบก!DE27"")"),0)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5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IFERROR(__xludf.DUMMYFUNCTION("IMPORTRANGE(""https://docs.google.com/spreadsheets/d/11923uPwbBZFjjGgGUA6NLw09EwE0CqkOc4q9oUmW1yo/edit?usp=sharing"",""พิจิตร!J220"")"),0)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5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IFERROR(__xludf.DUMMYFUNCTION("IMPORTRANGE(""https://docs.google.com/spreadsheets/d/11923uPwbBZFjjGgGUA6NLw09EwE0CqkOc4q9oUmW1yo/edit?usp=sharing"",""พิจิตร!J221"")"),0)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5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IFERROR(__xludf.DUMMYFUNCTION("IMPORTRANGE(""https://docs.google.com/spreadsheets/d/11923uPwbBZFjjGgGUA6NLw09EwE0CqkOc4q9oUmW1yo/edit?usp=sharing"",""พิจิตร!J222"")"),0)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5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IFERROR(__xludf.DUMMYFUNCTION("IMPORTRANGE(""https://docs.google.com/spreadsheets/d/11923uPwbBZFjjGgGUA6NLw09EwE0CqkOc4q9oUmW1yo/edit?usp=sharing"",""พิจิตร!J223"")"),0)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IFERROR(__xludf.DUMMYFUNCTION("IMPORTRANGE(""https://docs.google.com/spreadsheets/d/11923uPwbBZFjjGgGUA6NLw09EwE0CqkOc4q9oUmW1yo/edit?usp=sharing"",""พิจิตร!I224"")"),0)</f>
        <v>0</v>
      </c>
      <c r="J324" s="203">
        <f ca="1">IFERROR(__xludf.DUMMYFUNCTION("IMPORTRANGE(""https://docs.google.com/spreadsheets/d/11923uPwbBZFjjGgGUA6NLw09EwE0CqkOc4q9oUmW1yo/edit?usp=sharing"",""พิจิตร!J224"")"),0)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5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IFERROR(__xludf.DUMMYFUNCTION("IMPORTRANGE(""https://docs.google.com/spreadsheets/d/11923uPwbBZFjjGgGUA6NLw09EwE0CqkOc4q9oUmW1yo/edit?usp=sharing"",""พิจิตร!J225"")"),0)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5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IFERROR(__xludf.DUMMYFUNCTION("IMPORTRANGE(""https://docs.google.com/spreadsheets/d/11923uPwbBZFjjGgGUA6NLw09EwE0CqkOc4q9oUmW1yo/edit?usp=sharing"",""พิจิตร!J226"")"),0)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5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5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IFERROR(__xludf.DUMMYFUNCTION("IMPORTRANGE(""https://docs.google.com/spreadsheets/d/11923uPwbBZFjjGgGUA6NLw09EwE0CqkOc4q9oUmW1yo/edit?usp=sharing"",""พิจิตร!I228"")"),130)</f>
        <v>130</v>
      </c>
      <c r="J328" s="337">
        <f ca="1">IFERROR(__xludf.DUMMYFUNCTION("IMPORTRANGE(""https://docs.google.com/spreadsheets/d/11923uPwbBZFjjGgGUA6NLw09EwE0CqkOc4q9oUmW1yo/edit?usp=sharing"",""พิจิตร!J228"")"),49)</f>
        <v>49</v>
      </c>
      <c r="K328" s="315">
        <f ca="1">IF(I328&gt;0,J328*100/I328,0)</f>
        <v>37.692307692307693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1253340</v>
      </c>
      <c r="M329" s="151">
        <f t="shared" ca="1" si="98"/>
        <v>681080</v>
      </c>
      <c r="N329" s="151">
        <f t="shared" ca="1" si="98"/>
        <v>540274</v>
      </c>
      <c r="O329" s="150">
        <f t="shared" ref="O329:O331" ca="1" si="99">IF(L329&gt;0,N329*100/L329,0)</f>
        <v>43.106738793942583</v>
      </c>
      <c r="P329" s="150">
        <f t="shared" ref="P329:P331" ca="1" si="100">IF(M329&gt;0,N329*100/M329,0)</f>
        <v>79.326070358841832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1253340</v>
      </c>
      <c r="M331" s="87">
        <f t="shared" ca="1" si="102"/>
        <v>681080</v>
      </c>
      <c r="N331" s="87">
        <f t="shared" ca="1" si="102"/>
        <v>540274</v>
      </c>
      <c r="O331" s="155">
        <f t="shared" ca="1" si="99"/>
        <v>43.106738793942583</v>
      </c>
      <c r="P331" s="155">
        <f t="shared" ca="1" si="100"/>
        <v>79.326070358841832</v>
      </c>
    </row>
    <row r="332" spans="1:16" ht="21.75" customHeight="1" x14ac:dyDescent="0.35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1177740</v>
      </c>
      <c r="M333" s="167">
        <f ca="1">IFERROR(__xludf.DUMMYFUNCTION("IMPORTRANGE(""https://docs.google.com/spreadsheets/d/1Yj_ptqi66GCucihVvJfMjLAmec39IyEx_6qawtMGysU/edit?usp=sharing"",""สบก!DL27"")"),605480)</f>
        <v>605480</v>
      </c>
      <c r="N333" s="168">
        <f ca="1">IFERROR(__xludf.DUMMYFUNCTION("IMPORTRANGE(""https://docs.google.com/spreadsheets/d/1Yj_ptqi66GCucihVvJfMjLAmec39IyEx_6qawtMGysU/edit?usp=sharing"",""สบก!DM27"")"),464674)</f>
        <v>464674</v>
      </c>
      <c r="O333" s="168">
        <f ca="1">IF(L333&gt;0,N333*100/L333,0)</f>
        <v>39.454718358890759</v>
      </c>
      <c r="P333" s="168">
        <f ca="1">IF(M333&gt;0,N333*100/M333,0)</f>
        <v>76.744731452731713</v>
      </c>
    </row>
    <row r="334" spans="1:16" ht="21.75" customHeight="1" x14ac:dyDescent="0.35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IFERROR(__xludf.DUMMYFUNCTION("IMPORTRANGE(""https://docs.google.com/spreadsheets/d/1Yj_ptqi66GCucihVvJfMjLAmec39IyEx_6qawtMGysU/edit?usp=sharing"",""สบก!DH27"")"),854600)</f>
        <v>854600</v>
      </c>
      <c r="M334" s="167"/>
      <c r="N334" s="167"/>
      <c r="O334" s="168"/>
      <c r="P334" s="168"/>
    </row>
    <row r="335" spans="1:16" ht="21.75" customHeight="1" x14ac:dyDescent="0.35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IFERROR(__xludf.DUMMYFUNCTION("IMPORTRANGE(""https://docs.google.com/spreadsheets/d/1Yj_ptqi66GCucihVvJfMjLAmec39IyEx_6qawtMGysU/edit?usp=sharing"",""สบก!DI27"")"),323140)</f>
        <v>323140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IFERROR(__xludf.DUMMYFUNCTION("IMPORTRANGE(""https://docs.google.com/spreadsheets/d/1Yj_ptqi66GCucihVvJfMjLAmec39IyEx_6qawtMGysU/edit?usp=sharing"",""สบก!DJ27"")"),75600)</f>
        <v>75600</v>
      </c>
      <c r="M337" s="49">
        <f ca="1">L337</f>
        <v>75600</v>
      </c>
      <c r="N337" s="49">
        <f ca="1">IFERROR(__xludf.DUMMYFUNCTION("IMPORTRANGE(""https://docs.google.com/spreadsheets/d/1Yj_ptqi66GCucihVvJfMjLAmec39IyEx_6qawtMGysU/edit?usp=sharing"",""สบก!DN27"")"),75600)</f>
        <v>75600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5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IFERROR(__xludf.DUMMYFUNCTION("IMPORTRANGE(""https://docs.google.com/spreadsheets/d/11923uPwbBZFjjGgGUA6NLw09EwE0CqkOc4q9oUmW1yo/edit?usp=sharing"",""พิจิตร!I234"")"),0)</f>
        <v>0</v>
      </c>
      <c r="J339" s="187">
        <f ca="1">IFERROR(__xludf.DUMMYFUNCTION("IMPORTRANGE(""https://docs.google.com/spreadsheets/d/11923uPwbBZFjjGgGUA6NLw09EwE0CqkOc4q9oUmW1yo/edit?usp=sharing"",""พิจิตร!J234"")"),39)</f>
        <v>39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5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IFERROR(__xludf.DUMMYFUNCTION("IMPORTRANGE(""https://docs.google.com/spreadsheets/d/11923uPwbBZFjjGgGUA6NLw09EwE0CqkOc4q9oUmW1yo/edit?usp=sharing"",""พิจิตร!I235"")"),1000)</f>
        <v>1000</v>
      </c>
      <c r="J340" s="187">
        <f ca="1">IFERROR(__xludf.DUMMYFUNCTION("IMPORTRANGE(""https://docs.google.com/spreadsheets/d/11923uPwbBZFjjGgGUA6NLw09EwE0CqkOc4q9oUmW1yo/edit?usp=sharing"",""พิจิตร!J235"")"),339.409999999999)</f>
        <v>339.409999999999</v>
      </c>
      <c r="K340" s="340">
        <f t="shared" ca="1" si="103"/>
        <v>33.940999999999896</v>
      </c>
      <c r="L340" s="181"/>
      <c r="M340" s="181"/>
      <c r="N340" s="181"/>
      <c r="O340" s="341"/>
      <c r="P340" s="341"/>
    </row>
    <row r="341" spans="1:16" ht="21.75" customHeight="1" x14ac:dyDescent="0.35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IFERROR(__xludf.DUMMYFUNCTION("IMPORTRANGE(""https://docs.google.com/spreadsheets/d/11923uPwbBZFjjGgGUA6NLw09EwE0CqkOc4q9oUmW1yo/edit?usp=sharing"",""พิจิตร!I236"")"),130)</f>
        <v>130</v>
      </c>
      <c r="J341" s="187">
        <f ca="1">IFERROR(__xludf.DUMMYFUNCTION("IMPORTRANGE(""https://docs.google.com/spreadsheets/d/11923uPwbBZFjjGgGUA6NLw09EwE0CqkOc4q9oUmW1yo/edit?usp=sharing"",""พิจิตร!J236"")"),84)</f>
        <v>84</v>
      </c>
      <c r="K341" s="340">
        <f t="shared" ca="1" si="103"/>
        <v>64.615384615384613</v>
      </c>
      <c r="L341" s="181"/>
      <c r="M341" s="181"/>
      <c r="N341" s="181"/>
      <c r="O341" s="341"/>
      <c r="P341" s="341"/>
    </row>
    <row r="342" spans="1:16" ht="21.75" customHeight="1" x14ac:dyDescent="0.35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IFERROR(__xludf.DUMMYFUNCTION("IMPORTRANGE(""https://docs.google.com/spreadsheets/d/11923uPwbBZFjjGgGUA6NLw09EwE0CqkOc4q9oUmW1yo/edit?usp=sharing"",""พิจิตร!I237"")"),0)</f>
        <v>0</v>
      </c>
      <c r="J342" s="187">
        <f ca="1">IFERROR(__xludf.DUMMYFUNCTION("IMPORTRANGE(""https://docs.google.com/spreadsheets/d/11923uPwbBZFjjGgGUA6NLw09EwE0CqkOc4q9oUmW1yo/edit?usp=sharing"",""พิจิตร!J237"")"),1055.82)</f>
        <v>1055.82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5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IFERROR(__xludf.DUMMYFUNCTION("IMPORTRANGE(""https://docs.google.com/spreadsheets/d/11923uPwbBZFjjGgGUA6NLw09EwE0CqkOc4q9oUmW1yo/edit?usp=sharing"",""พิจิตร!I238"")"),130)</f>
        <v>130</v>
      </c>
      <c r="J343" s="187">
        <f ca="1">IFERROR(__xludf.DUMMYFUNCTION("IMPORTRANGE(""https://docs.google.com/spreadsheets/d/11923uPwbBZFjjGgGUA6NLw09EwE0CqkOc4q9oUmW1yo/edit?usp=sharing"",""พิจิตร!J238"")"),0)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5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IFERROR(__xludf.DUMMYFUNCTION("IMPORTRANGE(""https://docs.google.com/spreadsheets/d/11923uPwbBZFjjGgGUA6NLw09EwE0CqkOc4q9oUmW1yo/edit?usp=sharing"",""พิจิตร!I239"")"),0)</f>
        <v>0</v>
      </c>
      <c r="J344" s="187">
        <f ca="1">IFERROR(__xludf.DUMMYFUNCTION("IMPORTRANGE(""https://docs.google.com/spreadsheets/d/11923uPwbBZFjjGgGUA6NLw09EwE0CqkOc4q9oUmW1yo/edit?usp=sharing"",""พิจิตร!J239"")"),0)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5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IFERROR(__xludf.DUMMYFUNCTION("IMPORTRANGE(""https://docs.google.com/spreadsheets/d/11923uPwbBZFjjGgGUA6NLw09EwE0CqkOc4q9oUmW1yo/edit?usp=sharing"",""พิจิตร!I240"")"),130)</f>
        <v>130</v>
      </c>
      <c r="J345" s="187">
        <f ca="1">IFERROR(__xludf.DUMMYFUNCTION("IMPORTRANGE(""https://docs.google.com/spreadsheets/d/11923uPwbBZFjjGgGUA6NLw09EwE0CqkOc4q9oUmW1yo/edit?usp=sharing"",""พิจิตร!J240"")"),49)</f>
        <v>49</v>
      </c>
      <c r="K345" s="340">
        <f t="shared" ca="1" si="103"/>
        <v>37.692307692307693</v>
      </c>
      <c r="L345" s="181"/>
      <c r="M345" s="181"/>
      <c r="N345" s="181"/>
      <c r="O345" s="341"/>
      <c r="P345" s="341"/>
    </row>
    <row r="346" spans="1:16" ht="21.75" customHeight="1" x14ac:dyDescent="0.35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IFERROR(__xludf.DUMMYFUNCTION("IMPORTRANGE(""https://docs.google.com/spreadsheets/d/11923uPwbBZFjjGgGUA6NLw09EwE0CqkOc4q9oUmW1yo/edit?usp=sharing"",""พิจิตร!I241"")"),0)</f>
        <v>0</v>
      </c>
      <c r="J346" s="187">
        <f ca="1">IFERROR(__xludf.DUMMYFUNCTION("IMPORTRANGE(""https://docs.google.com/spreadsheets/d/11923uPwbBZFjjGgGUA6NLw09EwE0CqkOc4q9oUmW1yo/edit?usp=sharing"",""พิจิตร!J241"")"),698.6)</f>
        <v>698.6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5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IFERROR(__xludf.DUMMYFUNCTION("IMPORTRANGE(""https://docs.google.com/spreadsheets/d/11923uPwbBZFjjGgGUA6NLw09EwE0CqkOc4q9oUmW1yo/edit?usp=sharing"",""พิจิตร!L242"")"),2012847)</f>
        <v>2012847</v>
      </c>
      <c r="M347" s="356"/>
      <c r="N347" s="356">
        <f ca="1">IFERROR(__xludf.DUMMYFUNCTION("IMPORTRANGE(""https://docs.google.com/spreadsheets/d/11923uPwbBZFjjGgGUA6NLw09EwE0CqkOc4q9oUmW1yo/edit?usp=sharing"",""พิจิตร!M242"")"),342761.33)</f>
        <v>342761.33</v>
      </c>
      <c r="O347" s="356">
        <f ca="1">+IF(L347&gt;0,N347*100/L347,0)</f>
        <v>17.028682756314812</v>
      </c>
      <c r="P347" s="356"/>
    </row>
    <row r="348" spans="1:16" ht="21.75" customHeight="1" x14ac:dyDescent="0.35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5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IFERROR(__xludf.DUMMYFUNCTION("IMPORTRANGE(""https://docs.google.com/spreadsheets/d/11923uPwbBZFjjGgGUA6NLw09EwE0CqkOc4q9oUmW1yo/edit?usp=sharing"",""พิจิตร!I244"")"),160)</f>
        <v>160</v>
      </c>
      <c r="J349" s="369">
        <f ca="1">IFERROR(__xludf.DUMMYFUNCTION("IMPORTRANGE(""https://docs.google.com/spreadsheets/d/11923uPwbBZFjjGgGUA6NLw09EwE0CqkOc4q9oUmW1yo/edit?usp=sharing"",""พิจิตร!J244"")"),0)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IFERROR(__xludf.DUMMYFUNCTION("IMPORTRANGE(""https://docs.google.com/spreadsheets/d/11923uPwbBZFjjGgGUA6NLw09EwE0CqkOc4q9oUmW1yo/edit?usp=sharing"",""พิจิตร!L244"")"),406480)</f>
        <v>406480</v>
      </c>
      <c r="M349" s="371"/>
      <c r="N349" s="371">
        <f ca="1">IFERROR(__xludf.DUMMYFUNCTION("IMPORTRANGE(""https://docs.google.com/spreadsheets/d/11923uPwbBZFjjGgGUA6NLw09EwE0CqkOc4q9oUmW1yo/edit?usp=sharing"",""พิจิตร!M244"")"),88627.7)</f>
        <v>88627.7</v>
      </c>
      <c r="O349" s="371">
        <f ca="1">+IF(L349&gt;0,N349*100/L349,0)</f>
        <v>21.803704979334778</v>
      </c>
      <c r="P349" s="371"/>
    </row>
    <row r="350" spans="1:16" ht="21.75" customHeight="1" x14ac:dyDescent="0.35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IFERROR(__xludf.DUMMYFUNCTION("IMPORTRANGE(""https://docs.google.com/spreadsheets/d/11923uPwbBZFjjGgGUA6NLw09EwE0CqkOc4q9oUmW1yo/edit?usp=sharing"",""พิจิตร!I245"")"),60)</f>
        <v>60</v>
      </c>
      <c r="J350" s="369">
        <f ca="1">IFERROR(__xludf.DUMMYFUNCTION("IMPORTRANGE(""https://docs.google.com/spreadsheets/d/11923uPwbBZFjjGgGUA6NLw09EwE0CqkOc4q9oUmW1yo/edit?usp=sharing"",""พิจิตร!J245"")"),0)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5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IFERROR(__xludf.DUMMYFUNCTION("IMPORTRANGE(""https://docs.google.com/spreadsheets/d/11923uPwbBZFjjGgGUA6NLw09EwE0CqkOc4q9oUmW1yo/edit?usp=sharing"",""พิจิตร!L246"")"),0)</f>
        <v>0</v>
      </c>
      <c r="M351" s="164"/>
      <c r="N351" s="164">
        <f ca="1">IFERROR(__xludf.DUMMYFUNCTION("IMPORTRANGE(""https://docs.google.com/spreadsheets/d/11923uPwbBZFjjGgGUA6NLw09EwE0CqkOc4q9oUmW1yo/edit?usp=sharing"",""พิจิตร!M246"")"),0)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IFERROR(__xludf.DUMMYFUNCTION("IMPORTRANGE(""https://docs.google.com/spreadsheets/d/11923uPwbBZFjjGgGUA6NLw09EwE0CqkOc4q9oUmW1yo/edit?usp=sharing"",""พิจิตร!L247"")"),406480)</f>
        <v>406480</v>
      </c>
      <c r="M352" s="165"/>
      <c r="N352" s="164">
        <f ca="1">IFERROR(__xludf.DUMMYFUNCTION("IMPORTRANGE(""https://docs.google.com/spreadsheets/d/11923uPwbBZFjjGgGUA6NLw09EwE0CqkOc4q9oUmW1yo/edit?usp=sharing"",""พิจิตร!M247"")"),88627.7)</f>
        <v>88627.7</v>
      </c>
      <c r="O352" s="165">
        <f t="shared" ca="1" si="105"/>
        <v>21.803704979334778</v>
      </c>
      <c r="P352" s="165"/>
    </row>
    <row r="353" spans="1:16" ht="21.75" customHeight="1" x14ac:dyDescent="0.35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IFERROR(__xludf.DUMMYFUNCTION("IMPORTRANGE(""https://docs.google.com/spreadsheets/d/11923uPwbBZFjjGgGUA6NLw09EwE0CqkOc4q9oUmW1yo/edit?usp=sharing"",""พิจิตร!L248"")"),0)</f>
        <v>0</v>
      </c>
      <c r="M353" s="168"/>
      <c r="N353" s="168">
        <f ca="1">IFERROR(__xludf.DUMMYFUNCTION("IMPORTRANGE(""https://docs.google.com/spreadsheets/d/11923uPwbBZFjjGgGUA6NLw09EwE0CqkOc4q9oUmW1yo/edit?usp=sharing"",""พิจิตร!M248"")"),0)</f>
        <v>0</v>
      </c>
      <c r="O353" s="168">
        <f t="shared" ca="1" si="105"/>
        <v>0</v>
      </c>
      <c r="P353" s="168"/>
    </row>
    <row r="354" spans="1:16" ht="21.75" customHeight="1" x14ac:dyDescent="0.35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IFERROR(__xludf.DUMMYFUNCTION("IMPORTRANGE(""https://docs.google.com/spreadsheets/d/11923uPwbBZFjjGgGUA6NLw09EwE0CqkOc4q9oUmW1yo/edit?usp=sharing"",""พิจิตร!L249"")"),406480)</f>
        <v>406480</v>
      </c>
      <c r="M354" s="168"/>
      <c r="N354" s="167">
        <f ca="1">IFERROR(__xludf.DUMMYFUNCTION("IMPORTRANGE(""https://docs.google.com/spreadsheets/d/11923uPwbBZFjjGgGUA6NLw09EwE0CqkOc4q9oUmW1yo/edit?usp=sharing"",""พิจิตร!M249"")"),88627.7)</f>
        <v>88627.7</v>
      </c>
      <c r="O354" s="168">
        <f t="shared" ca="1" si="105"/>
        <v>21.803704979334778</v>
      </c>
      <c r="P354" s="168"/>
    </row>
    <row r="355" spans="1:16" ht="21.75" customHeight="1" x14ac:dyDescent="0.35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IFERROR(__xludf.DUMMYFUNCTION("IMPORTRANGE(""https://docs.google.com/spreadsheets/d/11923uPwbBZFjjGgGUA6NLw09EwE0CqkOc4q9oUmW1yo/edit?usp=sharing"",""พิจิตร!M250"")"),41076)</f>
        <v>41076</v>
      </c>
      <c r="O355" s="168"/>
      <c r="P355" s="168"/>
    </row>
    <row r="356" spans="1:16" ht="21.75" customHeight="1" x14ac:dyDescent="0.35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IFERROR(__xludf.DUMMYFUNCTION("IMPORTRANGE(""https://docs.google.com/spreadsheets/d/11923uPwbBZFjjGgGUA6NLw09EwE0CqkOc4q9oUmW1yo/edit?usp=sharing"",""พิจิตร!M251"")"),0)</f>
        <v>0</v>
      </c>
      <c r="O356" s="168"/>
      <c r="P356" s="168"/>
    </row>
    <row r="357" spans="1:16" ht="21.75" customHeight="1" x14ac:dyDescent="0.35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IFERROR(__xludf.DUMMYFUNCTION("IMPORTRANGE(""https://docs.google.com/spreadsheets/d/11923uPwbBZFjjGgGUA6NLw09EwE0CqkOc4q9oUmW1yo/edit?usp=sharing"",""พิจิตร!M252"")"),46051.7)</f>
        <v>46051.7</v>
      </c>
      <c r="O357" s="168"/>
      <c r="P357" s="168"/>
    </row>
    <row r="358" spans="1:16" ht="21.75" customHeight="1" x14ac:dyDescent="0.35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IFERROR(__xludf.DUMMYFUNCTION("IMPORTRANGE(""https://docs.google.com/spreadsheets/d/11923uPwbBZFjjGgGUA6NLw09EwE0CqkOc4q9oUmW1yo/edit?usp=sharing"",""พิจิตร!M253"")"),1500)</f>
        <v>1500</v>
      </c>
      <c r="O358" s="168"/>
      <c r="P358" s="168"/>
    </row>
    <row r="359" spans="1:16" ht="21.75" customHeight="1" x14ac:dyDescent="0.35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5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IFERROR(__xludf.DUMMYFUNCTION("IMPORTRANGE(""https://docs.google.com/spreadsheets/d/11923uPwbBZFjjGgGUA6NLw09EwE0CqkOc4q9oUmW1yo/edit?usp=sharing"",""พิจิตร!J255"")"),0)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5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IFERROR(__xludf.DUMMYFUNCTION("IMPORTRANGE(""https://docs.google.com/spreadsheets/d/11923uPwbBZFjjGgGUA6NLw09EwE0CqkOc4q9oUmW1yo/edit?usp=sharing"",""พิจิตร!J256"")"),1)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5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IFERROR(__xludf.DUMMYFUNCTION("IMPORTRANGE(""https://docs.google.com/spreadsheets/d/11923uPwbBZFjjGgGUA6NLw09EwE0CqkOc4q9oUmW1yo/edit?usp=sharing"",""พิจิตร!J257"")"),1)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5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IFERROR(__xludf.DUMMYFUNCTION("IMPORTRANGE(""https://docs.google.com/spreadsheets/d/11923uPwbBZFjjGgGUA6NLw09EwE0CqkOc4q9oUmW1yo/edit?usp=sharing"",""พิจิตร!J258"")"),1)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5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IFERROR(__xludf.DUMMYFUNCTION("IMPORTRANGE(""https://docs.google.com/spreadsheets/d/11923uPwbBZFjjGgGUA6NLw09EwE0CqkOc4q9oUmW1yo/edit?usp=sharing"",""พิจิตร!J166"")"),0)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5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IFERROR(__xludf.DUMMYFUNCTION("IMPORTRANGE(""https://docs.google.com/spreadsheets/d/11923uPwbBZFjjGgGUA6NLw09EwE0CqkOc4q9oUmW1yo/edit?usp=sharing"",""พิจิตร!J166"")"),0)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IFERROR(__xludf.DUMMYFUNCTION("IMPORTRANGE(""https://docs.google.com/spreadsheets/d/11923uPwbBZFjjGgGUA6NLw09EwE0CqkOc4q9oUmW1yo/edit?usp=sharing"",""พิจิตร!J166"")"),0)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5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IFERROR(__xludf.DUMMYFUNCTION("IMPORTRANGE(""https://docs.google.com/spreadsheets/d/11923uPwbBZFjjGgGUA6NLw09EwE0CqkOc4q9oUmW1yo/edit?usp=sharing"",""พิจิตร!J166"")"),0)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5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IFERROR(__xludf.DUMMYFUNCTION("IMPORTRANGE(""https://docs.google.com/spreadsheets/d/11923uPwbBZFjjGgGUA6NLw09EwE0CqkOc4q9oUmW1yo/edit?usp=sharing"",""พิจิตร!I263"")"),60)</f>
        <v>60</v>
      </c>
      <c r="J368" s="187">
        <f ca="1">IFERROR(__xludf.DUMMYFUNCTION("IMPORTRANGE(""https://docs.google.com/spreadsheets/d/11923uPwbBZFjjGgGUA6NLw09EwE0CqkOc4q9oUmW1yo/edit?usp=sharing"",""พิจิตร!J263"")"),0)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5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IFERROR(__xludf.DUMMYFUNCTION("IMPORTRANGE(""https://docs.google.com/spreadsheets/d/11923uPwbBZFjjGgGUA6NLw09EwE0CqkOc4q9oUmW1yo/edit?usp=sharing"",""พิจิตร!I164"")"),0)</f>
        <v>0</v>
      </c>
      <c r="J369" s="203">
        <f ca="1">IFERROR(__xludf.DUMMYFUNCTION("IMPORTRANGE(""https://docs.google.com/spreadsheets/d/11923uPwbBZFjjGgGUA6NLw09EwE0CqkOc4q9oUmW1yo/edit?usp=sharing"",""พิจิตร!J164"")"),0)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5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IFERROR(__xludf.DUMMYFUNCTION("IMPORTRANGE(""https://docs.google.com/spreadsheets/d/11923uPwbBZFjjGgGUA6NLw09EwE0CqkOc4q9oUmW1yo/edit?usp=sharing"",""พิจิตร!I265"")"),60)</f>
        <v>60</v>
      </c>
      <c r="J370" s="203">
        <f ca="1">IFERROR(__xludf.DUMMYFUNCTION("IMPORTRANGE(""https://docs.google.com/spreadsheets/d/11923uPwbBZFjjGgGUA6NLw09EwE0CqkOc4q9oUmW1yo/edit?usp=sharing"",""พิจิตร!J265"")"),0)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5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IFERROR(__xludf.DUMMYFUNCTION("IMPORTRANGE(""https://docs.google.com/spreadsheets/d/11923uPwbBZFjjGgGUA6NLw09EwE0CqkOc4q9oUmW1yo/edit?usp=sharing"",""พิจิตร!I164"")"),0)</f>
        <v>0</v>
      </c>
      <c r="J371" s="188">
        <f ca="1">IFERROR(__xludf.DUMMYFUNCTION("IMPORTRANGE(""https://docs.google.com/spreadsheets/d/11923uPwbBZFjjGgGUA6NLw09EwE0CqkOc4q9oUmW1yo/edit?usp=sharing"",""พิจิตร!J164"")"),0)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5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IFERROR(__xludf.DUMMYFUNCTION("IMPORTRANGE(""https://docs.google.com/spreadsheets/d/11923uPwbBZFjjGgGUA6NLw09EwE0CqkOc4q9oUmW1yo/edit?usp=sharing"",""พิจิตร!I267"")"),60)</f>
        <v>60</v>
      </c>
      <c r="J372" s="188">
        <f ca="1">IFERROR(__xludf.DUMMYFUNCTION("IMPORTRANGE(""https://docs.google.com/spreadsheets/d/11923uPwbBZFjjGgGUA6NLw09EwE0CqkOc4q9oUmW1yo/edit?usp=sharing"",""พิจิตร!J267"")"),0)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5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IFERROR(__xludf.DUMMYFUNCTION("IMPORTRANGE(""https://docs.google.com/spreadsheets/d/11923uPwbBZFjjGgGUA6NLw09EwE0CqkOc4q9oUmW1yo/edit?usp=sharing"",""พิจิตร!I164"")"),0)</f>
        <v>0</v>
      </c>
      <c r="J373" s="203">
        <f ca="1">IFERROR(__xludf.DUMMYFUNCTION("IMPORTRANGE(""https://docs.google.com/spreadsheets/d/11923uPwbBZFjjGgGUA6NLw09EwE0CqkOc4q9oUmW1yo/edit?usp=sharing"",""พิจิตร!J164"")"),0)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IFERROR(__xludf.DUMMYFUNCTION("IMPORTRANGE(""https://docs.google.com/spreadsheets/d/11923uPwbBZFjjGgGUA6NLw09EwE0CqkOc4q9oUmW1yo/edit?usp=sharing"",""พิจิตร!I164"")"),0)</f>
        <v>0</v>
      </c>
      <c r="J374" s="187">
        <f ca="1">IFERROR(__xludf.DUMMYFUNCTION("IMPORTRANGE(""https://docs.google.com/spreadsheets/d/11923uPwbBZFjjGgGUA6NLw09EwE0CqkOc4q9oUmW1yo/edit?usp=sharing"",""พิจิตร!J164"")"),0)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5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IFERROR(__xludf.DUMMYFUNCTION("IMPORTRANGE(""https://docs.google.com/spreadsheets/d/11923uPwbBZFjjGgGUA6NLw09EwE0CqkOc4q9oUmW1yo/edit?usp=sharing"",""พิจิตร!I270"")"),160)</f>
        <v>160</v>
      </c>
      <c r="J375" s="187">
        <f ca="1">IFERROR(__xludf.DUMMYFUNCTION("IMPORTRANGE(""https://docs.google.com/spreadsheets/d/11923uPwbBZFjjGgGUA6NLw09EwE0CqkOc4q9oUmW1yo/edit?usp=sharing"",""พิจิตร!J270"")"),0)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5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IFERROR(__xludf.DUMMYFUNCTION("IMPORTRANGE(""https://docs.google.com/spreadsheets/d/11923uPwbBZFjjGgGUA6NLw09EwE0CqkOc4q9oUmW1yo/edit?usp=sharing"",""พิจิตร!I271"")"),60)</f>
        <v>60</v>
      </c>
      <c r="J376" s="188">
        <f ca="1">IFERROR(__xludf.DUMMYFUNCTION("IMPORTRANGE(""https://docs.google.com/spreadsheets/d/11923uPwbBZFjjGgGUA6NLw09EwE0CqkOc4q9oUmW1yo/edit?usp=sharing"",""พิจิตร!J271"")"),0)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5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IFERROR(__xludf.DUMMYFUNCTION("IMPORTRANGE(""https://docs.google.com/spreadsheets/d/11923uPwbBZFjjGgGUA6NLw09EwE0CqkOc4q9oUmW1yo/edit?usp=sharing"",""พิจิตร!I272"")"),100)</f>
        <v>100</v>
      </c>
      <c r="J377" s="203">
        <f ca="1">IFERROR(__xludf.DUMMYFUNCTION("IMPORTRANGE(""https://docs.google.com/spreadsheets/d/11923uPwbBZFjjGgGUA6NLw09EwE0CqkOc4q9oUmW1yo/edit?usp=sharing"",""พิจิตร!J272"")"),0)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5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IFERROR(__xludf.DUMMYFUNCTION("IMPORTRANGE(""https://docs.google.com/spreadsheets/d/11923uPwbBZFjjGgGUA6NLw09EwE0CqkOc4q9oUmW1yo/edit?usp=sharing"",""พิจิตร!J273"")"),0)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5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IFERROR(__xludf.DUMMYFUNCTION("IMPORTRANGE(""https://docs.google.com/spreadsheets/d/11923uPwbBZFjjGgGUA6NLw09EwE0CqkOc4q9oUmW1yo/edit?usp=sharing"",""พิจิตร!J274"")"),0)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5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IFERROR(__xludf.DUMMYFUNCTION("IMPORTRANGE(""https://docs.google.com/spreadsheets/d/11923uPwbBZFjjGgGUA6NLw09EwE0CqkOc4q9oUmW1yo/edit?usp=sharing"",""พิจิตร!I275"")"),200)</f>
        <v>200</v>
      </c>
      <c r="J380" s="369">
        <f ca="1">IFERROR(__xludf.DUMMYFUNCTION("IMPORTRANGE(""https://docs.google.com/spreadsheets/d/11923uPwbBZFjjGgGUA6NLw09EwE0CqkOc4q9oUmW1yo/edit?usp=sharing"",""พิจิตร!J275"")"),0)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IFERROR(__xludf.DUMMYFUNCTION("IMPORTRANGE(""https://docs.google.com/spreadsheets/d/11923uPwbBZFjjGgGUA6NLw09EwE0CqkOc4q9oUmW1yo/edit?usp=sharing"",""พิจิตร!L275"")"),207560)</f>
        <v>207560</v>
      </c>
      <c r="M380" s="371"/>
      <c r="N380" s="371">
        <f ca="1">IFERROR(__xludf.DUMMYFUNCTION("IMPORTRANGE(""https://docs.google.com/spreadsheets/d/11923uPwbBZFjjGgGUA6NLw09EwE0CqkOc4q9oUmW1yo/edit?usp=sharing"",""พิจิตร!M275"")"),32611)</f>
        <v>32611</v>
      </c>
      <c r="O380" s="371">
        <f ca="1">+IF(L380&gt;0,N380*100/L380,0)</f>
        <v>15.711601464636731</v>
      </c>
      <c r="P380" s="371"/>
    </row>
    <row r="381" spans="1:16" ht="21.75" customHeight="1" x14ac:dyDescent="0.35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IFERROR(__xludf.DUMMYFUNCTION("IMPORTRANGE(""https://docs.google.com/spreadsheets/d/11923uPwbBZFjjGgGUA6NLw09EwE0CqkOc4q9oUmW1yo/edit?usp=sharing"",""พิจิตร!I276"")"),20)</f>
        <v>20</v>
      </c>
      <c r="J381" s="369">
        <f ca="1">IFERROR(__xludf.DUMMYFUNCTION("IMPORTRANGE(""https://docs.google.com/spreadsheets/d/11923uPwbBZFjjGgGUA6NLw09EwE0CqkOc4q9oUmW1yo/edit?usp=sharing"",""พิจิตร!J276"")"),20)</f>
        <v>20</v>
      </c>
      <c r="K381" s="370">
        <f t="shared" ca="1" si="108"/>
        <v>100</v>
      </c>
      <c r="L381" s="371"/>
      <c r="M381" s="371"/>
      <c r="N381" s="371"/>
      <c r="O381" s="371"/>
      <c r="P381" s="371"/>
    </row>
    <row r="382" spans="1:16" ht="21.75" customHeight="1" x14ac:dyDescent="0.35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IFERROR(__xludf.DUMMYFUNCTION("IMPORTRANGE(""https://docs.google.com/spreadsheets/d/11923uPwbBZFjjGgGUA6NLw09EwE0CqkOc4q9oUmW1yo/edit?usp=sharing"",""พิจิตร!L277"")"),0)</f>
        <v>0</v>
      </c>
      <c r="M382" s="164"/>
      <c r="N382" s="164">
        <f ca="1">IFERROR(__xludf.DUMMYFUNCTION("IMPORTRANGE(""https://docs.google.com/spreadsheets/d/11923uPwbBZFjjGgGUA6NLw09EwE0CqkOc4q9oUmW1yo/edit?usp=sharing"",""พิจิตร!M277"")"),0)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IFERROR(__xludf.DUMMYFUNCTION("IMPORTRANGE(""https://docs.google.com/spreadsheets/d/11923uPwbBZFjjGgGUA6NLw09EwE0CqkOc4q9oUmW1yo/edit?usp=sharing"",""พิจิตร!L278"")"),207560)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IFERROR(__xludf.DUMMYFUNCTION("IMPORTRANGE(""https://docs.google.com/spreadsheets/d/11923uPwbBZFjjGgGUA6NLw09EwE0CqkOc4q9oUmW1yo/edit?usp=sharing"",""พิจิตร!M278"")"),32611)</f>
        <v>32611</v>
      </c>
      <c r="O383" s="165">
        <f t="shared" ca="1" si="109"/>
        <v>15.711601464636731</v>
      </c>
      <c r="P383" s="165"/>
    </row>
    <row r="384" spans="1:16" ht="21.75" customHeight="1" x14ac:dyDescent="0.35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IFERROR(__xludf.DUMMYFUNCTION("IMPORTRANGE(""https://docs.google.com/spreadsheets/d/11923uPwbBZFjjGgGUA6NLw09EwE0CqkOc4q9oUmW1yo/edit?usp=sharing"",""พิจิตร!L279"")"),0)</f>
        <v>0</v>
      </c>
      <c r="M384" s="168"/>
      <c r="N384" s="168">
        <f ca="1">IFERROR(__xludf.DUMMYFUNCTION("IMPORTRANGE(""https://docs.google.com/spreadsheets/d/11923uPwbBZFjjGgGUA6NLw09EwE0CqkOc4q9oUmW1yo/edit?usp=sharing"",""พิจิตร!M279"")"),0)</f>
        <v>0</v>
      </c>
      <c r="O384" s="168">
        <f t="shared" ca="1" si="109"/>
        <v>0</v>
      </c>
      <c r="P384" s="168"/>
    </row>
    <row r="385" spans="1:16" ht="21.75" customHeight="1" x14ac:dyDescent="0.35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IFERROR(__xludf.DUMMYFUNCTION("IMPORTRANGE(""https://docs.google.com/spreadsheets/d/11923uPwbBZFjjGgGUA6NLw09EwE0CqkOc4q9oUmW1yo/edit?usp=sharing"",""พิจิตร!L280"")"),207560)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IFERROR(__xludf.DUMMYFUNCTION("IMPORTRANGE(""https://docs.google.com/spreadsheets/d/11923uPwbBZFjjGgGUA6NLw09EwE0CqkOc4q9oUmW1yo/edit?usp=sharing"",""พิจิตร!M280"")"),32611)</f>
        <v>32611</v>
      </c>
      <c r="O385" s="168">
        <f t="shared" ca="1" si="109"/>
        <v>15.711601464636731</v>
      </c>
      <c r="P385" s="168"/>
    </row>
    <row r="386" spans="1:16" ht="21.75" customHeight="1" x14ac:dyDescent="0.35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IFERROR(__xludf.DUMMYFUNCTION("IMPORTRANGE(""https://docs.google.com/spreadsheets/d/11923uPwbBZFjjGgGUA6NLw09EwE0CqkOc4q9oUmW1yo/edit?usp=sharing"",""พิจิตร!M281"")"),27616)</f>
        <v>27616</v>
      </c>
      <c r="O386" s="168"/>
      <c r="P386" s="168"/>
    </row>
    <row r="387" spans="1:16" ht="21.75" customHeight="1" x14ac:dyDescent="0.35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IFERROR(__xludf.DUMMYFUNCTION("IMPORTRANGE(""https://docs.google.com/spreadsheets/d/11923uPwbBZFjjGgGUA6NLw09EwE0CqkOc4q9oUmW1yo/edit?usp=sharing"",""พิจิตร!M282"")"),0)</f>
        <v>0</v>
      </c>
      <c r="O387" s="168"/>
      <c r="P387" s="168"/>
    </row>
    <row r="388" spans="1:16" ht="21.75" customHeight="1" x14ac:dyDescent="0.35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IFERROR(__xludf.DUMMYFUNCTION("IMPORTRANGE(""https://docs.google.com/spreadsheets/d/11923uPwbBZFjjGgGUA6NLw09EwE0CqkOc4q9oUmW1yo/edit?usp=sharing"",""พิจิตร!M283"")"),0)</f>
        <v>0</v>
      </c>
      <c r="O388" s="168"/>
      <c r="P388" s="168"/>
    </row>
    <row r="389" spans="1:16" ht="21.75" customHeight="1" x14ac:dyDescent="0.35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IFERROR(__xludf.DUMMYFUNCTION("IMPORTRANGE(""https://docs.google.com/spreadsheets/d/11923uPwbBZFjjGgGUA6NLw09EwE0CqkOc4q9oUmW1yo/edit?usp=sharing"",""พิจิตร!M284"")"),4995)</f>
        <v>4995</v>
      </c>
      <c r="O389" s="168"/>
      <c r="P389" s="168"/>
    </row>
    <row r="390" spans="1:16" ht="21.75" customHeight="1" x14ac:dyDescent="0.35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5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IFERROR(__xludf.DUMMYFUNCTION("IMPORTRANGE(""https://docs.google.com/spreadsheets/d/11923uPwbBZFjjGgGUA6NLw09EwE0CqkOc4q9oUmW1yo/edit?usp=sharing"",""พิจิตร!J286"")"),0)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5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IFERROR(__xludf.DUMMYFUNCTION("IMPORTRANGE(""https://docs.google.com/spreadsheets/d/11923uPwbBZFjjGgGUA6NLw09EwE0CqkOc4q9oUmW1yo/edit?usp=sharing"",""พิจิตร!J287"")"),1)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5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IFERROR(__xludf.DUMMYFUNCTION("IMPORTRANGE(""https://docs.google.com/spreadsheets/d/11923uPwbBZFjjGgGUA6NLw09EwE0CqkOc4q9oUmW1yo/edit?usp=sharing"",""พิจิตร!J288"")"),1)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5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IFERROR(__xludf.DUMMYFUNCTION("IMPORTRANGE(""https://docs.google.com/spreadsheets/d/11923uPwbBZFjjGgGUA6NLw09EwE0CqkOc4q9oUmW1yo/edit?usp=sharing"",""พิจิตร!J289"")"),1)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5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IFERROR(__xludf.DUMMYFUNCTION("IMPORTRANGE(""https://docs.google.com/spreadsheets/d/11923uPwbBZFjjGgGUA6NLw09EwE0CqkOc4q9oUmW1yo/edit?usp=sharing"",""พิจิตร!I291"")"),20)</f>
        <v>20</v>
      </c>
      <c r="J396" s="197">
        <f ca="1">IFERROR(__xludf.DUMMYFUNCTION("IMPORTRANGE(""https://docs.google.com/spreadsheets/d/11923uPwbBZFjjGgGUA6NLw09EwE0CqkOc4q9oUmW1yo/edit?usp=sharing"",""พิจิตร!J291"")"),20)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5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IFERROR(__xludf.DUMMYFUNCTION("IMPORTRANGE(""https://docs.google.com/spreadsheets/d/11923uPwbBZFjjGgGUA6NLw09EwE0CqkOc4q9oUmW1yo/edit?usp=sharing"",""พิจิตร!I292"")"),200)</f>
        <v>200</v>
      </c>
      <c r="J397" s="197">
        <f ca="1">IFERROR(__xludf.DUMMYFUNCTION("IMPORTRANGE(""https://docs.google.com/spreadsheets/d/11923uPwbBZFjjGgGUA6NLw09EwE0CqkOc4q9oUmW1yo/edit?usp=sharing"",""พิจิตร!J292"")"),0)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IFERROR(__xludf.DUMMYFUNCTION("IMPORTRANGE(""https://docs.google.com/spreadsheets/d/11923uPwbBZFjjGgGUA6NLw09EwE0CqkOc4q9oUmW1yo/edit?usp=sharing"",""พิจิตร!I293"")"),20)</f>
        <v>20</v>
      </c>
      <c r="J398" s="197">
        <f ca="1">IFERROR(__xludf.DUMMYFUNCTION("IMPORTRANGE(""https://docs.google.com/spreadsheets/d/11923uPwbBZFjjGgGUA6NLw09EwE0CqkOc4q9oUmW1yo/edit?usp=sharing"",""พิจิตร!J293"")"),0)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5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IFERROR(__xludf.DUMMYFUNCTION("IMPORTRANGE(""https://docs.google.com/spreadsheets/d/11923uPwbBZFjjGgGUA6NLw09EwE0CqkOc4q9oUmW1yo/edit?usp=sharing"",""พิจิตร!J294"")"),0)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5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IFERROR(__xludf.DUMMYFUNCTION("IMPORTRANGE(""https://docs.google.com/spreadsheets/d/11923uPwbBZFjjGgGUA6NLw09EwE0CqkOc4q9oUmW1yo/edit?usp=sharing"",""พิจิตร!J295"")"),0)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5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IFERROR(__xludf.DUMMYFUNCTION("IMPORTRANGE(""https://docs.google.com/spreadsheets/d/11923uPwbBZFjjGgGUA6NLw09EwE0CqkOc4q9oUmW1yo/edit?usp=sharing"",""พิจิตร!I296"")"),174)</f>
        <v>174</v>
      </c>
      <c r="J401" s="369">
        <f ca="1">IFERROR(__xludf.DUMMYFUNCTION("IMPORTRANGE(""https://docs.google.com/spreadsheets/d/11923uPwbBZFjjGgGUA6NLw09EwE0CqkOc4q9oUmW1yo/edit?usp=sharing"",""พิจิตร!J296"")"),0)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IFERROR(__xludf.DUMMYFUNCTION("IMPORTRANGE(""https://docs.google.com/spreadsheets/d/11923uPwbBZFjjGgGUA6NLw09EwE0CqkOc4q9oUmW1yo/edit?usp=sharing"",""พิจิตร!L296"")"),195900)</f>
        <v>195900</v>
      </c>
      <c r="M401" s="371"/>
      <c r="N401" s="371">
        <f ca="1">IFERROR(__xludf.DUMMYFUNCTION("IMPORTRANGE(""https://docs.google.com/spreadsheets/d/11923uPwbBZFjjGgGUA6NLw09EwE0CqkOc4q9oUmW1yo/edit?usp=sharing"",""พิจิตร!M296"")"),30727)</f>
        <v>30727</v>
      </c>
      <c r="O401" s="371">
        <f ca="1">+IF(L401&gt;0,N401*100/L401,0)</f>
        <v>15.685043389484431</v>
      </c>
      <c r="P401" s="371"/>
    </row>
    <row r="402" spans="1:16" ht="21.75" customHeight="1" x14ac:dyDescent="0.35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IFERROR(__xludf.DUMMYFUNCTION("IMPORTRANGE(""https://docs.google.com/spreadsheets/d/11923uPwbBZFjjGgGUA6NLw09EwE0CqkOc4q9oUmW1yo/edit?usp=sharing"",""พิจิตร!I297"")"),58)</f>
        <v>58</v>
      </c>
      <c r="J402" s="369">
        <f ca="1">IFERROR(__xludf.DUMMYFUNCTION("IMPORTRANGE(""https://docs.google.com/spreadsheets/d/11923uPwbBZFjjGgGUA6NLw09EwE0CqkOc4q9oUmW1yo/edit?usp=sharing"",""พิจิตร!J297"")"),10)</f>
        <v>10</v>
      </c>
      <c r="K402" s="370">
        <f t="shared" ca="1" si="111"/>
        <v>17.241379310344829</v>
      </c>
      <c r="L402" s="371"/>
      <c r="M402" s="371"/>
      <c r="N402" s="371"/>
      <c r="O402" s="371"/>
      <c r="P402" s="371"/>
    </row>
    <row r="403" spans="1:16" ht="21.75" customHeight="1" x14ac:dyDescent="0.35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IFERROR(__xludf.DUMMYFUNCTION("IMPORTRANGE(""https://docs.google.com/spreadsheets/d/11923uPwbBZFjjGgGUA6NLw09EwE0CqkOc4q9oUmW1yo/edit?usp=sharing"",""พิจิตร!L298"")"),0)</f>
        <v>0</v>
      </c>
      <c r="M403" s="164"/>
      <c r="N403" s="168">
        <f ca="1">IFERROR(__xludf.DUMMYFUNCTION("IMPORTRANGE(""https://docs.google.com/spreadsheets/d/11923uPwbBZFjjGgGUA6NLw09EwE0CqkOc4q9oUmW1yo/edit?usp=sharing"",""พิจิตร!M298"")"),0)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5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IFERROR(__xludf.DUMMYFUNCTION("IMPORTRANGE(""https://docs.google.com/spreadsheets/d/11923uPwbBZFjjGgGUA6NLw09EwE0CqkOc4q9oUmW1yo/edit?usp=sharing"",""พิจิตร!L299"")"),195900)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IFERROR(__xludf.DUMMYFUNCTION("IMPORTRANGE(""https://docs.google.com/spreadsheets/d/11923uPwbBZFjjGgGUA6NLw09EwE0CqkOc4q9oUmW1yo/edit?usp=sharing"",""พิจิตร!M299"")"),30727)</f>
        <v>30727</v>
      </c>
      <c r="O404" s="168">
        <f t="shared" ca="1" si="112"/>
        <v>15.685043389484431</v>
      </c>
      <c r="P404" s="168"/>
    </row>
    <row r="405" spans="1:16" ht="21.75" customHeight="1" x14ac:dyDescent="0.35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IFERROR(__xludf.DUMMYFUNCTION("IMPORTRANGE(""https://docs.google.com/spreadsheets/d/11923uPwbBZFjjGgGUA6NLw09EwE0CqkOc4q9oUmW1yo/edit?usp=sharing"",""พิจิตร!L300"")"),0)</f>
        <v>0</v>
      </c>
      <c r="M405" s="168"/>
      <c r="N405" s="168">
        <f ca="1">IFERROR(__xludf.DUMMYFUNCTION("IMPORTRANGE(""https://docs.google.com/spreadsheets/d/11923uPwbBZFjjGgGUA6NLw09EwE0CqkOc4q9oUmW1yo/edit?usp=sharing"",""พิจิตร!M300"")"),0)</f>
        <v>0</v>
      </c>
      <c r="O405" s="168">
        <f t="shared" ca="1" si="112"/>
        <v>0</v>
      </c>
      <c r="P405" s="168"/>
    </row>
    <row r="406" spans="1:16" ht="21.75" customHeight="1" x14ac:dyDescent="0.35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IFERROR(__xludf.DUMMYFUNCTION("IMPORTRANGE(""https://docs.google.com/spreadsheets/d/11923uPwbBZFjjGgGUA6NLw09EwE0CqkOc4q9oUmW1yo/edit?usp=sharing"",""พิจิตร!L301"")"),195900)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IFERROR(__xludf.DUMMYFUNCTION("IMPORTRANGE(""https://docs.google.com/spreadsheets/d/11923uPwbBZFjjGgGUA6NLw09EwE0CqkOc4q9oUmW1yo/edit?usp=sharing"",""พิจิตร!M301"")"),30727)</f>
        <v>30727</v>
      </c>
      <c r="O406" s="168">
        <f t="shared" ca="1" si="112"/>
        <v>15.685043389484431</v>
      </c>
      <c r="P406" s="168"/>
    </row>
    <row r="407" spans="1:16" ht="21.75" customHeight="1" x14ac:dyDescent="0.35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IFERROR(__xludf.DUMMYFUNCTION("IMPORTRANGE(""https://docs.google.com/spreadsheets/d/11923uPwbBZFjjGgGUA6NLw09EwE0CqkOc4q9oUmW1yo/edit?usp=sharing"",""พิจิตร!M302"")"),20032)</f>
        <v>20032</v>
      </c>
      <c r="O407" s="168"/>
      <c r="P407" s="168"/>
    </row>
    <row r="408" spans="1:16" ht="21.75" customHeight="1" x14ac:dyDescent="0.35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IFERROR(__xludf.DUMMYFUNCTION("IMPORTRANGE(""https://docs.google.com/spreadsheets/d/11923uPwbBZFjjGgGUA6NLw09EwE0CqkOc4q9oUmW1yo/edit?usp=sharing"",""พิจิตร!M303"")"),0)</f>
        <v>0</v>
      </c>
      <c r="O408" s="168"/>
      <c r="P408" s="168"/>
    </row>
    <row r="409" spans="1:16" ht="21.75" customHeight="1" x14ac:dyDescent="0.35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IFERROR(__xludf.DUMMYFUNCTION("IMPORTRANGE(""https://docs.google.com/spreadsheets/d/11923uPwbBZFjjGgGUA6NLw09EwE0CqkOc4q9oUmW1yo/edit?usp=sharing"",""พิจิตร!M304"")"),0)</f>
        <v>0</v>
      </c>
      <c r="O409" s="168"/>
      <c r="P409" s="168"/>
    </row>
    <row r="410" spans="1:16" ht="21.75" customHeight="1" x14ac:dyDescent="0.35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IFERROR(__xludf.DUMMYFUNCTION("IMPORTRANGE(""https://docs.google.com/spreadsheets/d/11923uPwbBZFjjGgGUA6NLw09EwE0CqkOc4q9oUmW1yo/edit?usp=sharing"",""พิจิตร!M305"")"),10695)</f>
        <v>10695</v>
      </c>
      <c r="O410" s="168"/>
      <c r="P410" s="168"/>
    </row>
    <row r="411" spans="1:16" ht="21.75" customHeight="1" x14ac:dyDescent="0.35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5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IFERROR(__xludf.DUMMYFUNCTION("IMPORTRANGE(""https://docs.google.com/spreadsheets/d/11923uPwbBZFjjGgGUA6NLw09EwE0CqkOc4q9oUmW1yo/edit?usp=sharing"",""พิจิตร!J307"")"),0)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5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IFERROR(__xludf.DUMMYFUNCTION("IMPORTRANGE(""https://docs.google.com/spreadsheets/d/11923uPwbBZFjjGgGUA6NLw09EwE0CqkOc4q9oUmW1yo/edit?usp=sharing"",""พิจิตร!J308"")"),1)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5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IFERROR(__xludf.DUMMYFUNCTION("IMPORTRANGE(""https://docs.google.com/spreadsheets/d/11923uPwbBZFjjGgGUA6NLw09EwE0CqkOc4q9oUmW1yo/edit?usp=sharing"",""พิจิตร!J309"")"),1)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5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IFERROR(__xludf.DUMMYFUNCTION("IMPORTRANGE(""https://docs.google.com/spreadsheets/d/11923uPwbBZFjjGgGUA6NLw09EwE0CqkOc4q9oUmW1yo/edit?usp=sharing"",""พิจิตร!J310"")"),1)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5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IFERROR(__xludf.DUMMYFUNCTION("IMPORTRANGE(""https://docs.google.com/spreadsheets/d/11923uPwbBZFjjGgGUA6NLw09EwE0CqkOc4q9oUmW1yo/edit?usp=sharing"",""พิจิตร!I311"")"),58)</f>
        <v>58</v>
      </c>
      <c r="J416" s="200">
        <f ca="1">IFERROR(__xludf.DUMMYFUNCTION("IMPORTRANGE(""https://docs.google.com/spreadsheets/d/11923uPwbBZFjjGgGUA6NLw09EwE0CqkOc4q9oUmW1yo/edit?usp=sharing"",""พิจิตร!J311"")"),10)</f>
        <v>10</v>
      </c>
      <c r="K416" s="201">
        <f t="shared" ref="K416:K432" ca="1" si="113">IF(I416&gt;0,J416*100/I416,0)</f>
        <v>17.241379310344829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IFERROR(__xludf.DUMMYFUNCTION("IMPORTRANGE(""https://docs.google.com/spreadsheets/d/11923uPwbBZFjjGgGUA6NLw09EwE0CqkOc4q9oUmW1yo/edit?usp=sharing"",""พิจิตร!I312"")"),10)</f>
        <v>10</v>
      </c>
      <c r="J417" s="390">
        <f ca="1">IFERROR(__xludf.DUMMYFUNCTION("IMPORTRANGE(""https://docs.google.com/spreadsheets/d/11923uPwbBZFjjGgGUA6NLw09EwE0CqkOc4q9oUmW1yo/edit?usp=sharing"",""พิจิตร!J312"")"),10)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IFERROR(__xludf.DUMMYFUNCTION("IMPORTRANGE(""https://docs.google.com/spreadsheets/d/11923uPwbBZFjjGgGUA6NLw09EwE0CqkOc4q9oUmW1yo/edit?usp=sharing"",""พิจิตร!I313"")"),30)</f>
        <v>30</v>
      </c>
      <c r="J418" s="391">
        <f ca="1">IFERROR(__xludf.DUMMYFUNCTION("IMPORTRANGE(""https://docs.google.com/spreadsheets/d/11923uPwbBZFjjGgGUA6NLw09EwE0CqkOc4q9oUmW1yo/edit?usp=sharing"",""พิจิตร!J313"")"),0)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IFERROR(__xludf.DUMMYFUNCTION("IMPORTRANGE(""https://docs.google.com/spreadsheets/d/11923uPwbBZFjjGgGUA6NLw09EwE0CqkOc4q9oUmW1yo/edit?usp=sharing"",""พิจิตร!I314"")"),10)</f>
        <v>10</v>
      </c>
      <c r="J419" s="392">
        <f ca="1">IFERROR(__xludf.DUMMYFUNCTION("IMPORTRANGE(""https://docs.google.com/spreadsheets/d/11923uPwbBZFjjGgGUA6NLw09EwE0CqkOc4q9oUmW1yo/edit?usp=sharing"",""พิจิตร!J314"")"),10)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IFERROR(__xludf.DUMMYFUNCTION("IMPORTRANGE(""https://docs.google.com/spreadsheets/d/11923uPwbBZFjjGgGUA6NLw09EwE0CqkOc4q9oUmW1yo/edit?usp=sharing"",""พิจิตร!I315"")"),10)</f>
        <v>10</v>
      </c>
      <c r="J420" s="392">
        <f ca="1">IFERROR(__xludf.DUMMYFUNCTION("IMPORTRANGE(""https://docs.google.com/spreadsheets/d/11923uPwbBZFjjGgGUA6NLw09EwE0CqkOc4q9oUmW1yo/edit?usp=sharing"",""พิจิตร!J315"")"),10)</f>
        <v>10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IFERROR(__xludf.DUMMYFUNCTION("IMPORTRANGE(""https://docs.google.com/spreadsheets/d/11923uPwbBZFjjGgGUA6NLw09EwE0CqkOc4q9oUmW1yo/edit?usp=sharing"",""พิจิตร!I316"")"),38)</f>
        <v>38</v>
      </c>
      <c r="J421" s="390">
        <f ca="1">IFERROR(__xludf.DUMMYFUNCTION("IMPORTRANGE(""https://docs.google.com/spreadsheets/d/11923uPwbBZFjjGgGUA6NLw09EwE0CqkOc4q9oUmW1yo/edit?usp=sharing"",""พิจิตร!J316"")"),0)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IFERROR(__xludf.DUMMYFUNCTION("IMPORTRANGE(""https://docs.google.com/spreadsheets/d/11923uPwbBZFjjGgGUA6NLw09EwE0CqkOc4q9oUmW1yo/edit?usp=sharing"",""พิจิตร!I317"")"),114)</f>
        <v>114</v>
      </c>
      <c r="J422" s="391">
        <f ca="1">IFERROR(__xludf.DUMMYFUNCTION("IMPORTRANGE(""https://docs.google.com/spreadsheets/d/11923uPwbBZFjjGgGUA6NLw09EwE0CqkOc4q9oUmW1yo/edit?usp=sharing"",""พิจิตร!J317"")"),0)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IFERROR(__xludf.DUMMYFUNCTION("IMPORTRANGE(""https://docs.google.com/spreadsheets/d/11923uPwbBZFjjGgGUA6NLw09EwE0CqkOc4q9oUmW1yo/edit?usp=sharing"",""พิจิตร!I318"")"),38)</f>
        <v>38</v>
      </c>
      <c r="J423" s="392">
        <f ca="1">IFERROR(__xludf.DUMMYFUNCTION("IMPORTRANGE(""https://docs.google.com/spreadsheets/d/11923uPwbBZFjjGgGUA6NLw09EwE0CqkOc4q9oUmW1yo/edit?usp=sharing"",""พิจิตร!J318"")"),0)</f>
        <v>0</v>
      </c>
      <c r="K423" s="163">
        <f t="shared" ca="1" si="113"/>
        <v>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IFERROR(__xludf.DUMMYFUNCTION("IMPORTRANGE(""https://docs.google.com/spreadsheets/d/11923uPwbBZFjjGgGUA6NLw09EwE0CqkOc4q9oUmW1yo/edit?usp=sharing"",""พิจิตร!I319"")"),38)</f>
        <v>38</v>
      </c>
      <c r="J424" s="392">
        <f ca="1">IFERROR(__xludf.DUMMYFUNCTION("IMPORTRANGE(""https://docs.google.com/spreadsheets/d/11923uPwbBZFjjGgGUA6NLw09EwE0CqkOc4q9oUmW1yo/edit?usp=sharing"",""พิจิตร!J319"")"),0)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IFERROR(__xludf.DUMMYFUNCTION("IMPORTRANGE(""https://docs.google.com/spreadsheets/d/11923uPwbBZFjjGgGUA6NLw09EwE0CqkOc4q9oUmW1yo/edit?usp=sharing"",""พิจิตร!I320"")"),38)</f>
        <v>38</v>
      </c>
      <c r="J425" s="392">
        <f ca="1">IFERROR(__xludf.DUMMYFUNCTION("IMPORTRANGE(""https://docs.google.com/spreadsheets/d/11923uPwbBZFjjGgGUA6NLw09EwE0CqkOc4q9oUmW1yo/edit?usp=sharing"",""พิจิตร!J320"")"),0)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IFERROR(__xludf.DUMMYFUNCTION("IMPORTRANGE(""https://docs.google.com/spreadsheets/d/11923uPwbBZFjjGgGUA6NLw09EwE0CqkOc4q9oUmW1yo/edit?usp=sharing"",""พิจิตร!I321"")"),10)</f>
        <v>10</v>
      </c>
      <c r="J426" s="390">
        <f ca="1">IFERROR(__xludf.DUMMYFUNCTION("IMPORTRANGE(""https://docs.google.com/spreadsheets/d/11923uPwbBZFjjGgGUA6NLw09EwE0CqkOc4q9oUmW1yo/edit?usp=sharing"",""พิจิตร!J321"")"),0)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IFERROR(__xludf.DUMMYFUNCTION("IMPORTRANGE(""https://docs.google.com/spreadsheets/d/11923uPwbBZFjjGgGUA6NLw09EwE0CqkOc4q9oUmW1yo/edit?usp=sharing"",""พิจิตร!I322"")"),30)</f>
        <v>30</v>
      </c>
      <c r="J427" s="391">
        <f ca="1">IFERROR(__xludf.DUMMYFUNCTION("IMPORTRANGE(""https://docs.google.com/spreadsheets/d/11923uPwbBZFjjGgGUA6NLw09EwE0CqkOc4q9oUmW1yo/edit?usp=sharing"",""พิจิตร!J322"")"),0)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IFERROR(__xludf.DUMMYFUNCTION("IMPORTRANGE(""https://docs.google.com/spreadsheets/d/11923uPwbBZFjjGgGUA6NLw09EwE0CqkOc4q9oUmW1yo/edit?usp=sharing"",""พิจิตร!I323"")"),10)</f>
        <v>10</v>
      </c>
      <c r="J428" s="392">
        <f ca="1">IFERROR(__xludf.DUMMYFUNCTION("IMPORTRANGE(""https://docs.google.com/spreadsheets/d/11923uPwbBZFjjGgGUA6NLw09EwE0CqkOc4q9oUmW1yo/edit?usp=sharing"",""พิจิตร!J323"")"),0)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IFERROR(__xludf.DUMMYFUNCTION("IMPORTRANGE(""https://docs.google.com/spreadsheets/d/11923uPwbBZFjjGgGUA6NLw09EwE0CqkOc4q9oUmW1yo/edit?usp=sharing"",""พิจิตร!I324"")"),10)</f>
        <v>10</v>
      </c>
      <c r="J429" s="392">
        <f ca="1">IFERROR(__xludf.DUMMYFUNCTION("IMPORTRANGE(""https://docs.google.com/spreadsheets/d/11923uPwbBZFjjGgGUA6NLw09EwE0CqkOc4q9oUmW1yo/edit?usp=sharing"",""พิจิตร!J324"")"),0)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IFERROR(__xludf.DUMMYFUNCTION("IMPORTRANGE(""https://docs.google.com/spreadsheets/d/11923uPwbBZFjjGgGUA6NLw09EwE0CqkOc4q9oUmW1yo/edit?usp=sharing"",""พิจิตร!I325"")"),48)</f>
        <v>48</v>
      </c>
      <c r="J430" s="390">
        <f ca="1">IFERROR(__xludf.DUMMYFUNCTION("IMPORTRANGE(""https://docs.google.com/spreadsheets/d/11923uPwbBZFjjGgGUA6NLw09EwE0CqkOc4q9oUmW1yo/edit?usp=sharing"",""พิจิตร!J325"")"),0)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IFERROR(__xludf.DUMMYFUNCTION("IMPORTRANGE(""https://docs.google.com/spreadsheets/d/11923uPwbBZFjjGgGUA6NLw09EwE0CqkOc4q9oUmW1yo/edit?usp=sharing"",""พิจิตร!I326"")"),10)</f>
        <v>10</v>
      </c>
      <c r="J431" s="392">
        <f ca="1">IFERROR(__xludf.DUMMYFUNCTION("IMPORTRANGE(""https://docs.google.com/spreadsheets/d/11923uPwbBZFjjGgGUA6NLw09EwE0CqkOc4q9oUmW1yo/edit?usp=sharing"",""พิจิตร!J326"")"),0)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IFERROR(__xludf.DUMMYFUNCTION("IMPORTRANGE(""https://docs.google.com/spreadsheets/d/11923uPwbBZFjjGgGUA6NLw09EwE0CqkOc4q9oUmW1yo/edit?usp=sharing"",""พิจิตร!I327"")"),38)</f>
        <v>38</v>
      </c>
      <c r="J432" s="392">
        <f ca="1">IFERROR(__xludf.DUMMYFUNCTION("IMPORTRANGE(""https://docs.google.com/spreadsheets/d/11923uPwbBZFjjGgGUA6NLw09EwE0CqkOc4q9oUmW1yo/edit?usp=sharing"",""พิจิตร!J327"")"),0)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5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IFERROR(__xludf.DUMMYFUNCTION("IMPORTRANGE(""https://docs.google.com/spreadsheets/d/11923uPwbBZFjjGgGUA6NLw09EwE0CqkOc4q9oUmW1yo/edit?usp=sharing"",""พิจิตร!J328"")"),0)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5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IFERROR(__xludf.DUMMYFUNCTION("IMPORTRANGE(""https://docs.google.com/spreadsheets/d/11923uPwbBZFjjGgGUA6NLw09EwE0CqkOc4q9oUmW1yo/edit?usp=sharing"",""พิจิตร!J329"")"),0)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5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IFERROR(__xludf.DUMMYFUNCTION("IMPORTRANGE(""https://docs.google.com/spreadsheets/d/11923uPwbBZFjjGgGUA6NLw09EwE0CqkOc4q9oUmW1yo/edit?usp=sharing"",""พิจิตร!I330"")"),15)</f>
        <v>15</v>
      </c>
      <c r="J435" s="408">
        <f ca="1">IFERROR(__xludf.DUMMYFUNCTION("IMPORTRANGE(""https://docs.google.com/spreadsheets/d/11923uPwbBZFjjGgGUA6NLw09EwE0CqkOc4q9oUmW1yo/edit?usp=sharing"",""พิจิตร!J330"")"),15)</f>
        <v>15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IFERROR(__xludf.DUMMYFUNCTION("IMPORTRANGE(""https://docs.google.com/spreadsheets/d/11923uPwbBZFjjGgGUA6NLw09EwE0CqkOc4q9oUmW1yo/edit?usp=sharing"",""พิจิตร!L330"")"),106000)</f>
        <v>106000</v>
      </c>
      <c r="M435" s="410"/>
      <c r="N435" s="410">
        <f ca="1">IFERROR(__xludf.DUMMYFUNCTION("IMPORTRANGE(""https://docs.google.com/spreadsheets/d/11923uPwbBZFjjGgGUA6NLw09EwE0CqkOc4q9oUmW1yo/edit?usp=sharing"",""พิจิตร!M330"")"),42986)</f>
        <v>42986</v>
      </c>
      <c r="O435" s="410">
        <f t="shared" ref="O435:O439" ca="1" si="114">+IF(L435&gt;0,N435*100/L435,0)</f>
        <v>40.552830188679245</v>
      </c>
      <c r="P435" s="410"/>
    </row>
    <row r="436" spans="1:16" ht="21.75" customHeight="1" x14ac:dyDescent="0.35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IFERROR(__xludf.DUMMYFUNCTION("IMPORTRANGE(""https://docs.google.com/spreadsheets/d/11923uPwbBZFjjGgGUA6NLw09EwE0CqkOc4q9oUmW1yo/edit?usp=sharing"",""พิจิตร!L331"")"),0)</f>
        <v>0</v>
      </c>
      <c r="M436" s="164"/>
      <c r="N436" s="168">
        <f ca="1">IFERROR(__xludf.DUMMYFUNCTION("IMPORTRANGE(""https://docs.google.com/spreadsheets/d/11923uPwbBZFjjGgGUA6NLw09EwE0CqkOc4q9oUmW1yo/edit?usp=sharing"",""พิจิตร!M331"")"),0)</f>
        <v>0</v>
      </c>
      <c r="O436" s="168">
        <f t="shared" ca="1" si="114"/>
        <v>0</v>
      </c>
      <c r="P436" s="168"/>
    </row>
    <row r="437" spans="1:16" ht="21.75" customHeight="1" x14ac:dyDescent="0.35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IFERROR(__xludf.DUMMYFUNCTION("IMPORTRANGE(""https://docs.google.com/spreadsheets/d/11923uPwbBZFjjGgGUA6NLw09EwE0CqkOc4q9oUmW1yo/edit?usp=sharing"",""พิจิตร!L332"")"),106000)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IFERROR(__xludf.DUMMYFUNCTION("IMPORTRANGE(""https://docs.google.com/spreadsheets/d/11923uPwbBZFjjGgGUA6NLw09EwE0CqkOc4q9oUmW1yo/edit?usp=sharing"",""พิจิตร!M332"")"),42986)</f>
        <v>42986</v>
      </c>
      <c r="O437" s="168">
        <f t="shared" ca="1" si="114"/>
        <v>40.552830188679245</v>
      </c>
      <c r="P437" s="168"/>
    </row>
    <row r="438" spans="1:16" ht="21.75" customHeight="1" x14ac:dyDescent="0.35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IFERROR(__xludf.DUMMYFUNCTION("IMPORTRANGE(""https://docs.google.com/spreadsheets/d/11923uPwbBZFjjGgGUA6NLw09EwE0CqkOc4q9oUmW1yo/edit?usp=sharing"",""พิจิตร!L333"")"),0)</f>
        <v>0</v>
      </c>
      <c r="M438" s="168"/>
      <c r="N438" s="168">
        <f ca="1">IFERROR(__xludf.DUMMYFUNCTION("IMPORTRANGE(""https://docs.google.com/spreadsheets/d/11923uPwbBZFjjGgGUA6NLw09EwE0CqkOc4q9oUmW1yo/edit?usp=sharing"",""พิจิตร!M333"")"),0)</f>
        <v>0</v>
      </c>
      <c r="O438" s="168">
        <f t="shared" ca="1" si="114"/>
        <v>0</v>
      </c>
      <c r="P438" s="168"/>
    </row>
    <row r="439" spans="1:16" ht="21.75" customHeight="1" x14ac:dyDescent="0.35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IFERROR(__xludf.DUMMYFUNCTION("IMPORTRANGE(""https://docs.google.com/spreadsheets/d/11923uPwbBZFjjGgGUA6NLw09EwE0CqkOc4q9oUmW1yo/edit?usp=sharing"",""พิจิตร!L334"")"),106000)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IFERROR(__xludf.DUMMYFUNCTION("IMPORTRANGE(""https://docs.google.com/spreadsheets/d/11923uPwbBZFjjGgGUA6NLw09EwE0CqkOc4q9oUmW1yo/edit?usp=sharing"",""พิจิตร!M334"")"),42986)</f>
        <v>42986</v>
      </c>
      <c r="O439" s="168">
        <f t="shared" ca="1" si="114"/>
        <v>40.552830188679245</v>
      </c>
      <c r="P439" s="168"/>
    </row>
    <row r="440" spans="1:16" ht="21.75" customHeight="1" x14ac:dyDescent="0.35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IFERROR(__xludf.DUMMYFUNCTION("IMPORTRANGE(""https://docs.google.com/spreadsheets/d/11923uPwbBZFjjGgGUA6NLw09EwE0CqkOc4q9oUmW1yo/edit?usp=sharing"",""พิจิตร!M335"")"),32191)</f>
        <v>32191</v>
      </c>
      <c r="O440" s="168"/>
      <c r="P440" s="168"/>
    </row>
    <row r="441" spans="1:16" ht="21.75" customHeight="1" x14ac:dyDescent="0.35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IFERROR(__xludf.DUMMYFUNCTION("IMPORTRANGE(""https://docs.google.com/spreadsheets/d/11923uPwbBZFjjGgGUA6NLw09EwE0CqkOc4q9oUmW1yo/edit?usp=sharing"",""พิจิตร!M336"")"),0)</f>
        <v>0</v>
      </c>
      <c r="O441" s="168"/>
      <c r="P441" s="168"/>
    </row>
    <row r="442" spans="1:16" ht="21.75" customHeight="1" x14ac:dyDescent="0.35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IFERROR(__xludf.DUMMYFUNCTION("IMPORTRANGE(""https://docs.google.com/spreadsheets/d/11923uPwbBZFjjGgGUA6NLw09EwE0CqkOc4q9oUmW1yo/edit?usp=sharing"",""พิจิตร!M337"")"),0)</f>
        <v>0</v>
      </c>
      <c r="O442" s="168"/>
      <c r="P442" s="168"/>
    </row>
    <row r="443" spans="1:16" ht="21.75" customHeight="1" x14ac:dyDescent="0.35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IFERROR(__xludf.DUMMYFUNCTION("IMPORTRANGE(""https://docs.google.com/spreadsheets/d/11923uPwbBZFjjGgGUA6NLw09EwE0CqkOc4q9oUmW1yo/edit?usp=sharing"",""พิจิตร!M338"")"),10795)</f>
        <v>10795</v>
      </c>
      <c r="O443" s="168"/>
      <c r="P443" s="168"/>
    </row>
    <row r="444" spans="1:16" ht="21.75" customHeight="1" x14ac:dyDescent="0.35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5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IFERROR(__xludf.DUMMYFUNCTION("IMPORTRANGE(""https://docs.google.com/spreadsheets/d/11923uPwbBZFjjGgGUA6NLw09EwE0CqkOc4q9oUmW1yo/edit?usp=sharing"",""พิจิตร!J340"")"),0)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5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IFERROR(__xludf.DUMMYFUNCTION("IMPORTRANGE(""https://docs.google.com/spreadsheets/d/11923uPwbBZFjjGgGUA6NLw09EwE0CqkOc4q9oUmW1yo/edit?usp=sharing"",""พิจิตร!J341"")"),1)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IFERROR(__xludf.DUMMYFUNCTION("IMPORTRANGE(""https://docs.google.com/spreadsheets/d/11923uPwbBZFjjGgGUA6NLw09EwE0CqkOc4q9oUmW1yo/edit?usp=sharing"",""พิจิตร!J342"")"),1)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5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IFERROR(__xludf.DUMMYFUNCTION("IMPORTRANGE(""https://docs.google.com/spreadsheets/d/11923uPwbBZFjjGgGUA6NLw09EwE0CqkOc4q9oUmW1yo/edit?usp=sharing"",""พิจิตร!J343"")"),1)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5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IFERROR(__xludf.DUMMYFUNCTION("IMPORTRANGE(""https://docs.google.com/spreadsheets/d/11923uPwbBZFjjGgGUA6NLw09EwE0CqkOc4q9oUmW1yo/edit?usp=sharing"",""พิจิตร!I344"")"),15)</f>
        <v>15</v>
      </c>
      <c r="J449" s="200">
        <f ca="1">IFERROR(__xludf.DUMMYFUNCTION("IMPORTRANGE(""https://docs.google.com/spreadsheets/d/11923uPwbBZFjjGgGUA6NLw09EwE0CqkOc4q9oUmW1yo/edit?usp=sharing"",""พิจิตร!J344"")"),15)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5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IFERROR(__xludf.DUMMYFUNCTION("IMPORTRANGE(""https://docs.google.com/spreadsheets/d/11923uPwbBZFjjGgGUA6NLw09EwE0CqkOc4q9oUmW1yo/edit?usp=sharing"",""พิจิตร!I345"")"),15)</f>
        <v>15</v>
      </c>
      <c r="J450" s="188">
        <f ca="1">IFERROR(__xludf.DUMMYFUNCTION("IMPORTRANGE(""https://docs.google.com/spreadsheets/d/11923uPwbBZFjjGgGUA6NLw09EwE0CqkOc4q9oUmW1yo/edit?usp=sharing"",""พิจิตร!J345"")"),15)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5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IFERROR(__xludf.DUMMYFUNCTION("IMPORTRANGE(""https://docs.google.com/spreadsheets/d/11923uPwbBZFjjGgGUA6NLw09EwE0CqkOc4q9oUmW1yo/edit?usp=sharing"",""พิจิตร!I346"")"),0)</f>
        <v>0</v>
      </c>
      <c r="J451" s="187">
        <f ca="1">IFERROR(__xludf.DUMMYFUNCTION("IMPORTRANGE(""https://docs.google.com/spreadsheets/d/11923uPwbBZFjjGgGUA6NLw09EwE0CqkOc4q9oUmW1yo/edit?usp=sharing"",""พิจิตร!J346"")"),0)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IFERROR(__xludf.DUMMYFUNCTION("IMPORTRANGE(""https://docs.google.com/spreadsheets/d/11923uPwbBZFjjGgGUA6NLw09EwE0CqkOc4q9oUmW1yo/edit?usp=sharing"",""พิจิตร!I347"")"),0)</f>
        <v>0</v>
      </c>
      <c r="J452" s="187">
        <f ca="1">IFERROR(__xludf.DUMMYFUNCTION("IMPORTRANGE(""https://docs.google.com/spreadsheets/d/11923uPwbBZFjjGgGUA6NLw09EwE0CqkOc4q9oUmW1yo/edit?usp=sharing"",""พิจิตร!J347"")"),0)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5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IFERROR(__xludf.DUMMYFUNCTION("IMPORTRANGE(""https://docs.google.com/spreadsheets/d/11923uPwbBZFjjGgGUA6NLw09EwE0CqkOc4q9oUmW1yo/edit?usp=sharing"",""พิจิตร!J348"")"),0)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5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IFERROR(__xludf.DUMMYFUNCTION("IMPORTRANGE(""https://docs.google.com/spreadsheets/d/11923uPwbBZFjjGgGUA6NLw09EwE0CqkOc4q9oUmW1yo/edit?usp=sharing"",""พิจิตร!J349"")"),0)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5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IFERROR(__xludf.DUMMYFUNCTION("IMPORTRANGE(""https://docs.google.com/spreadsheets/d/11923uPwbBZFjjGgGUA6NLw09EwE0CqkOc4q9oUmW1yo/edit?usp=sharing"",""พิจิตร!I350"")"),77223)</f>
        <v>77223</v>
      </c>
      <c r="J455" s="369">
        <f ca="1">IFERROR(__xludf.DUMMYFUNCTION("IMPORTRANGE(""https://docs.google.com/spreadsheets/d/11923uPwbBZFjjGgGUA6NLw09EwE0CqkOc4q9oUmW1yo/edit?usp=sharing"",""พิจิตร!J350"")"),0)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IFERROR(__xludf.DUMMYFUNCTION("IMPORTRANGE(""https://docs.google.com/spreadsheets/d/11923uPwbBZFjjGgGUA6NLw09EwE0CqkOc4q9oUmW1yo/edit?usp=sharing"",""พิจิตร!L350"")"),579537)</f>
        <v>579537</v>
      </c>
      <c r="M455" s="371"/>
      <c r="N455" s="371">
        <f ca="1">IFERROR(__xludf.DUMMYFUNCTION("IMPORTRANGE(""https://docs.google.com/spreadsheets/d/11923uPwbBZFjjGgGUA6NLw09EwE0CqkOc4q9oUmW1yo/edit?usp=sharing"",""พิจิตร!M350"")"),67716.8)</f>
        <v>67716.800000000003</v>
      </c>
      <c r="O455" s="371">
        <f t="shared" ref="O455:O459" ca="1" si="116">+IF(L455&gt;0,N455*100/L455,0)</f>
        <v>11.684637909227538</v>
      </c>
      <c r="P455" s="371"/>
    </row>
    <row r="456" spans="1:16" ht="21.75" customHeight="1" x14ac:dyDescent="0.35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IFERROR(__xludf.DUMMYFUNCTION("IMPORTRANGE(""https://docs.google.com/spreadsheets/d/11923uPwbBZFjjGgGUA6NLw09EwE0CqkOc4q9oUmW1yo/edit?usp=sharing"",""พิจิตร!L351"")"),0)</f>
        <v>0</v>
      </c>
      <c r="M456" s="164"/>
      <c r="N456" s="168">
        <f ca="1">IFERROR(__xludf.DUMMYFUNCTION("IMPORTRANGE(""https://docs.google.com/spreadsheets/d/11923uPwbBZFjjGgGUA6NLw09EwE0CqkOc4q9oUmW1yo/edit?usp=sharing"",""พิจิตร!M351"")"),0)</f>
        <v>0</v>
      </c>
      <c r="O456" s="168">
        <f t="shared" ca="1" si="116"/>
        <v>0</v>
      </c>
      <c r="P456" s="168"/>
    </row>
    <row r="457" spans="1:16" ht="21.75" customHeight="1" x14ac:dyDescent="0.35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IFERROR(__xludf.DUMMYFUNCTION("IMPORTRANGE(""https://docs.google.com/spreadsheets/d/11923uPwbBZFjjGgGUA6NLw09EwE0CqkOc4q9oUmW1yo/edit?usp=sharing"",""พิจิตร!L352"")"),579537)</f>
        <v>579537</v>
      </c>
      <c r="M457" s="165"/>
      <c r="N457" s="168">
        <f ca="1">IFERROR(__xludf.DUMMYFUNCTION("IMPORTRANGE(""https://docs.google.com/spreadsheets/d/11923uPwbBZFjjGgGUA6NLw09EwE0CqkOc4q9oUmW1yo/edit?usp=sharing"",""พิจิตร!M352"")"),67716.8)</f>
        <v>67716.800000000003</v>
      </c>
      <c r="O457" s="168">
        <f t="shared" ca="1" si="116"/>
        <v>11.684637909227538</v>
      </c>
      <c r="P457" s="168"/>
    </row>
    <row r="458" spans="1:16" ht="21.75" customHeight="1" x14ac:dyDescent="0.35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IFERROR(__xludf.DUMMYFUNCTION("IMPORTRANGE(""https://docs.google.com/spreadsheets/d/11923uPwbBZFjjGgGUA6NLw09EwE0CqkOc4q9oUmW1yo/edit?usp=sharing"",""พิจิตร!L353"")"),0)</f>
        <v>0</v>
      </c>
      <c r="M458" s="168"/>
      <c r="N458" s="168">
        <f ca="1">IFERROR(__xludf.DUMMYFUNCTION("IMPORTRANGE(""https://docs.google.com/spreadsheets/d/11923uPwbBZFjjGgGUA6NLw09EwE0CqkOc4q9oUmW1yo/edit?usp=sharing"",""พิจิตร!M353"")"),0)</f>
        <v>0</v>
      </c>
      <c r="O458" s="168">
        <f t="shared" ca="1" si="116"/>
        <v>0</v>
      </c>
      <c r="P458" s="168"/>
    </row>
    <row r="459" spans="1:16" ht="21.75" customHeight="1" x14ac:dyDescent="0.35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IFERROR(__xludf.DUMMYFUNCTION("IMPORTRANGE(""https://docs.google.com/spreadsheets/d/11923uPwbBZFjjGgGUA6NLw09EwE0CqkOc4q9oUmW1yo/edit?usp=sharing"",""พิจิตร!L354"")"),579537)</f>
        <v>579537</v>
      </c>
      <c r="M459" s="168"/>
      <c r="N459" s="168">
        <f ca="1">IFERROR(__xludf.DUMMYFUNCTION("IMPORTRANGE(""https://docs.google.com/spreadsheets/d/11923uPwbBZFjjGgGUA6NLw09EwE0CqkOc4q9oUmW1yo/edit?usp=sharing"",""พิจิตร!M354"")"),67716.8)</f>
        <v>67716.800000000003</v>
      </c>
      <c r="O459" s="168">
        <f t="shared" ca="1" si="116"/>
        <v>11.684637909227538</v>
      </c>
      <c r="P459" s="168"/>
    </row>
    <row r="460" spans="1:16" ht="21.75" customHeight="1" x14ac:dyDescent="0.35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IFERROR(__xludf.DUMMYFUNCTION("IMPORTRANGE(""https://docs.google.com/spreadsheets/d/11923uPwbBZFjjGgGUA6NLw09EwE0CqkOc4q9oUmW1yo/edit?usp=sharing"",""พิจิตร!M355"")"),0)</f>
        <v>0</v>
      </c>
      <c r="O460" s="168"/>
      <c r="P460" s="168"/>
    </row>
    <row r="461" spans="1:16" ht="21.75" customHeight="1" x14ac:dyDescent="0.35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IFERROR(__xludf.DUMMYFUNCTION("IMPORTRANGE(""https://docs.google.com/spreadsheets/d/11923uPwbBZFjjGgGUA6NLw09EwE0CqkOc4q9oUmW1yo/edit?usp=sharing"",""พิจิตร!M356"")"),0)</f>
        <v>0</v>
      </c>
      <c r="O461" s="168"/>
      <c r="P461" s="168"/>
    </row>
    <row r="462" spans="1:16" ht="21.75" customHeight="1" x14ac:dyDescent="0.35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IFERROR(__xludf.DUMMYFUNCTION("IMPORTRANGE(""https://docs.google.com/spreadsheets/d/11923uPwbBZFjjGgGUA6NLw09EwE0CqkOc4q9oUmW1yo/edit?usp=sharing"",""พิจิตร!M357"")"),29096.8)</f>
        <v>29096.799999999999</v>
      </c>
      <c r="O462" s="168"/>
      <c r="P462" s="168"/>
    </row>
    <row r="463" spans="1:16" ht="21.75" customHeight="1" x14ac:dyDescent="0.35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IFERROR(__xludf.DUMMYFUNCTION("IMPORTRANGE(""https://docs.google.com/spreadsheets/d/11923uPwbBZFjjGgGUA6NLw09EwE0CqkOc4q9oUmW1yo/edit?usp=sharing"",""พิจิตร!M358"")"),38620)</f>
        <v>38620</v>
      </c>
      <c r="O463" s="168"/>
      <c r="P463" s="168"/>
    </row>
    <row r="464" spans="1:16" ht="21.75" customHeight="1" x14ac:dyDescent="0.35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IFERROR(__xludf.DUMMYFUNCTION("IMPORTRANGE(""https://docs.google.com/spreadsheets/d/11923uPwbBZFjjGgGUA6NLw09EwE0CqkOc4q9oUmW1yo/edit?usp=sharing"",""พิจิตร!I359"")"),77223)</f>
        <v>77223</v>
      </c>
      <c r="J464" s="266">
        <f ca="1">IFERROR(__xludf.DUMMYFUNCTION("IMPORTRANGE(""https://docs.google.com/spreadsheets/d/11923uPwbBZFjjGgGUA6NLw09EwE0CqkOc4q9oUmW1yo/edit?usp=sharing"",""พิจิตร!J359"")"),0)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5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IFERROR(__xludf.DUMMYFUNCTION("IMPORTRANGE(""https://docs.google.com/spreadsheets/d/11923uPwbBZFjjGgGUA6NLw09EwE0CqkOc4q9oUmW1yo/edit?usp=sharing"",""พิจิตร!I360"")"),77223)</f>
        <v>77223</v>
      </c>
      <c r="J465" s="418">
        <f ca="1">IFERROR(__xludf.DUMMYFUNCTION("IMPORTRANGE(""https://docs.google.com/spreadsheets/d/11923uPwbBZFjjGgGUA6NLw09EwE0CqkOc4q9oUmW1yo/edit?usp=sharing"",""พิจิตร!J360"")"),0)</f>
        <v>0</v>
      </c>
      <c r="K465" s="201">
        <f t="shared" ca="1" si="117"/>
        <v>0</v>
      </c>
      <c r="L465" s="181"/>
      <c r="M465" s="181"/>
      <c r="N465" s="181"/>
      <c r="O465" s="181"/>
      <c r="P465" s="181"/>
    </row>
    <row r="466" spans="1:16" ht="21.75" customHeight="1" x14ac:dyDescent="0.35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IFERROR(__xludf.DUMMYFUNCTION("IMPORTRANGE(""https://docs.google.com/spreadsheets/d/11923uPwbBZFjjGgGUA6NLw09EwE0CqkOc4q9oUmW1yo/edit?usp=sharing"",""พิจิตร!I361"")"),7854)</f>
        <v>7854</v>
      </c>
      <c r="J466" s="418">
        <f ca="1">IFERROR(__xludf.DUMMYFUNCTION("IMPORTRANGE(""https://docs.google.com/spreadsheets/d/11923uPwbBZFjjGgGUA6NLw09EwE0CqkOc4q9oUmW1yo/edit?usp=sharing"",""พิจิตร!J361"")"),0)</f>
        <v>0</v>
      </c>
      <c r="K466" s="201">
        <f t="shared" ca="1" si="117"/>
        <v>0</v>
      </c>
      <c r="L466" s="181"/>
      <c r="M466" s="181"/>
      <c r="N466" s="181"/>
      <c r="O466" s="181"/>
      <c r="P466" s="181"/>
    </row>
    <row r="467" spans="1:16" ht="21.75" customHeight="1" x14ac:dyDescent="0.35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IFERROR(__xludf.DUMMYFUNCTION("IMPORTRANGE(""https://docs.google.com/spreadsheets/d/11923uPwbBZFjjGgGUA6NLw09EwE0CqkOc4q9oUmW1yo/edit?usp=sharing"",""พิจิตร!I362"")"),0)</f>
        <v>0</v>
      </c>
      <c r="J467" s="188">
        <f ca="1">IFERROR(__xludf.DUMMYFUNCTION("IMPORTRANGE(""https://docs.google.com/spreadsheets/d/11923uPwbBZFjjGgGUA6NLw09EwE0CqkOc4q9oUmW1yo/edit?usp=sharing"",""พิจิตร!J362"")"),0)</f>
        <v>0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5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IFERROR(__xludf.DUMMYFUNCTION("IMPORTRANGE(""https://docs.google.com/spreadsheets/d/11923uPwbBZFjjGgGUA6NLw09EwE0CqkOc4q9oUmW1yo/edit?usp=sharing"",""พิจิตร!I363"")"),0)</f>
        <v>0</v>
      </c>
      <c r="J468" s="188">
        <f ca="1">IFERROR(__xludf.DUMMYFUNCTION("IMPORTRANGE(""https://docs.google.com/spreadsheets/d/11923uPwbBZFjjGgGUA6NLw09EwE0CqkOc4q9oUmW1yo/edit?usp=sharing"",""พิจิตร!J363"")"),0)</f>
        <v>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5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IFERROR(__xludf.DUMMYFUNCTION("IMPORTRANGE(""https://docs.google.com/spreadsheets/d/11923uPwbBZFjjGgGUA6NLw09EwE0CqkOc4q9oUmW1yo/edit?usp=sharing"",""พิจิตร!I364"")"),0)</f>
        <v>0</v>
      </c>
      <c r="J469" s="188">
        <f ca="1">IFERROR(__xludf.DUMMYFUNCTION("IMPORTRANGE(""https://docs.google.com/spreadsheets/d/11923uPwbBZFjjGgGUA6NLw09EwE0CqkOc4q9oUmW1yo/edit?usp=sharing"",""พิจิตร!J364"")"),0)</f>
        <v>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5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IFERROR(__xludf.DUMMYFUNCTION("IMPORTRANGE(""https://docs.google.com/spreadsheets/d/11923uPwbBZFjjGgGUA6NLw09EwE0CqkOc4q9oUmW1yo/edit?usp=sharing"",""พิจิตร!I365"")"),0)</f>
        <v>0</v>
      </c>
      <c r="J470" s="188">
        <f ca="1">IFERROR(__xludf.DUMMYFUNCTION("IMPORTRANGE(""https://docs.google.com/spreadsheets/d/11923uPwbBZFjjGgGUA6NLw09EwE0CqkOc4q9oUmW1yo/edit?usp=sharing"",""พิจิตร!J365"")"),0)</f>
        <v>0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5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IFERROR(__xludf.DUMMYFUNCTION("IMPORTRANGE(""https://docs.google.com/spreadsheets/d/11923uPwbBZFjjGgGUA6NLw09EwE0CqkOc4q9oUmW1yo/edit?usp=sharing"",""พิจิตร!I366"")"),0)</f>
        <v>0</v>
      </c>
      <c r="J471" s="188">
        <f ca="1">IFERROR(__xludf.DUMMYFUNCTION("IMPORTRANGE(""https://docs.google.com/spreadsheets/d/11923uPwbBZFjjGgGUA6NLw09EwE0CqkOc4q9oUmW1yo/edit?usp=sharing"",""พิจิตร!J366"")"),0)</f>
        <v>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5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IFERROR(__xludf.DUMMYFUNCTION("IMPORTRANGE(""https://docs.google.com/spreadsheets/d/11923uPwbBZFjjGgGUA6NLw09EwE0CqkOc4q9oUmW1yo/edit?usp=sharing"",""พิจิตร!I367"")"),0)</f>
        <v>0</v>
      </c>
      <c r="J472" s="188">
        <f ca="1">IFERROR(__xludf.DUMMYFUNCTION("IMPORTRANGE(""https://docs.google.com/spreadsheets/d/11923uPwbBZFjjGgGUA6NLw09EwE0CqkOc4q9oUmW1yo/edit?usp=sharing"",""พิจิตร!J367"")"),0)</f>
        <v>0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5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IFERROR(__xludf.DUMMYFUNCTION("IMPORTRANGE(""https://docs.google.com/spreadsheets/d/11923uPwbBZFjjGgGUA6NLw09EwE0CqkOc4q9oUmW1yo/edit?usp=sharing"",""พิจิตร!I368"")"),77223)</f>
        <v>77223</v>
      </c>
      <c r="J473" s="418">
        <f ca="1">IFERROR(__xludf.DUMMYFUNCTION("IMPORTRANGE(""https://docs.google.com/spreadsheets/d/11923uPwbBZFjjGgGUA6NLw09EwE0CqkOc4q9oUmW1yo/edit?usp=sharing"",""พิจิตร!J368"")"),0)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5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IFERROR(__xludf.DUMMYFUNCTION("IMPORTRANGE(""https://docs.google.com/spreadsheets/d/11923uPwbBZFjjGgGUA6NLw09EwE0CqkOc4q9oUmW1yo/edit?usp=sharing"",""พิจิตร!I369"")"),7854)</f>
        <v>7854</v>
      </c>
      <c r="J474" s="418">
        <f ca="1">IFERROR(__xludf.DUMMYFUNCTION("IMPORTRANGE(""https://docs.google.com/spreadsheets/d/11923uPwbBZFjjGgGUA6NLw09EwE0CqkOc4q9oUmW1yo/edit?usp=sharing"",""พิจิตร!J369"")"),0)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5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IFERROR(__xludf.DUMMYFUNCTION("IMPORTRANGE(""https://docs.google.com/spreadsheets/d/11923uPwbBZFjjGgGUA6NLw09EwE0CqkOc4q9oUmW1yo/edit?usp=sharing"",""พิจิตร!I370"")"),0)</f>
        <v>0</v>
      </c>
      <c r="J475" s="188">
        <f ca="1">IFERROR(__xludf.DUMMYFUNCTION("IMPORTRANGE(""https://docs.google.com/spreadsheets/d/11923uPwbBZFjjGgGUA6NLw09EwE0CqkOc4q9oUmW1yo/edit?usp=sharing"",""พิจิตร!J370"")"),0)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5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IFERROR(__xludf.DUMMYFUNCTION("IMPORTRANGE(""https://docs.google.com/spreadsheets/d/11923uPwbBZFjjGgGUA6NLw09EwE0CqkOc4q9oUmW1yo/edit?usp=sharing"",""พิจิตร!I371"")"),0)</f>
        <v>0</v>
      </c>
      <c r="J476" s="188">
        <f ca="1">IFERROR(__xludf.DUMMYFUNCTION("IMPORTRANGE(""https://docs.google.com/spreadsheets/d/11923uPwbBZFjjGgGUA6NLw09EwE0CqkOc4q9oUmW1yo/edit?usp=sharing"",""พิจิตร!J371"")"),0)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5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IFERROR(__xludf.DUMMYFUNCTION("IMPORTRANGE(""https://docs.google.com/spreadsheets/d/11923uPwbBZFjjGgGUA6NLw09EwE0CqkOc4q9oUmW1yo/edit?usp=sharing"",""พิจิตร!I372"")"),0)</f>
        <v>0</v>
      </c>
      <c r="J477" s="188">
        <f ca="1">IFERROR(__xludf.DUMMYFUNCTION("IMPORTRANGE(""https://docs.google.com/spreadsheets/d/11923uPwbBZFjjGgGUA6NLw09EwE0CqkOc4q9oUmW1yo/edit?usp=sharing"",""พิจิตร!J372"")"),0)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5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IFERROR(__xludf.DUMMYFUNCTION("IMPORTRANGE(""https://docs.google.com/spreadsheets/d/11923uPwbBZFjjGgGUA6NLw09EwE0CqkOc4q9oUmW1yo/edit?usp=sharing"",""พิจิตร!I373"")"),0)</f>
        <v>0</v>
      </c>
      <c r="J478" s="188">
        <f ca="1">IFERROR(__xludf.DUMMYFUNCTION("IMPORTRANGE(""https://docs.google.com/spreadsheets/d/11923uPwbBZFjjGgGUA6NLw09EwE0CqkOc4q9oUmW1yo/edit?usp=sharing"",""พิจิตร!J373"")"),0)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5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IFERROR(__xludf.DUMMYFUNCTION("IMPORTRANGE(""https://docs.google.com/spreadsheets/d/11923uPwbBZFjjGgGUA6NLw09EwE0CqkOc4q9oUmW1yo/edit?usp=sharing"",""พิจิตร!I374"")"),0)</f>
        <v>0</v>
      </c>
      <c r="J479" s="188">
        <f ca="1">IFERROR(__xludf.DUMMYFUNCTION("IMPORTRANGE(""https://docs.google.com/spreadsheets/d/11923uPwbBZFjjGgGUA6NLw09EwE0CqkOc4q9oUmW1yo/edit?usp=sharing"",""พิจิตร!J374"")"),0)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5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IFERROR(__xludf.DUMMYFUNCTION("IMPORTRANGE(""https://docs.google.com/spreadsheets/d/11923uPwbBZFjjGgGUA6NLw09EwE0CqkOc4q9oUmW1yo/edit?usp=sharing"",""พิจิตร!I375"")"),0)</f>
        <v>0</v>
      </c>
      <c r="J480" s="188">
        <f ca="1">IFERROR(__xludf.DUMMYFUNCTION("IMPORTRANGE(""https://docs.google.com/spreadsheets/d/11923uPwbBZFjjGgGUA6NLw09EwE0CqkOc4q9oUmW1yo/edit?usp=sharing"",""พิจิตร!J375"")"),0)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5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IFERROR(__xludf.DUMMYFUNCTION("IMPORTRANGE(""https://docs.google.com/spreadsheets/d/11923uPwbBZFjjGgGUA6NLw09EwE0CqkOc4q9oUmW1yo/edit?usp=sharing"",""พิจิตร!I376"")"),77223)</f>
        <v>77223</v>
      </c>
      <c r="J481" s="418">
        <f ca="1">IFERROR(__xludf.DUMMYFUNCTION("IMPORTRANGE(""https://docs.google.com/spreadsheets/d/11923uPwbBZFjjGgGUA6NLw09EwE0CqkOc4q9oUmW1yo/edit?usp=sharing"",""พิจิตร!J376"")"),0)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5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IFERROR(__xludf.DUMMYFUNCTION("IMPORTRANGE(""https://docs.google.com/spreadsheets/d/11923uPwbBZFjjGgGUA6NLw09EwE0CqkOc4q9oUmW1yo/edit?usp=sharing"",""พิจิตร!I377"")"),7854)</f>
        <v>7854</v>
      </c>
      <c r="J482" s="418">
        <f ca="1">IFERROR(__xludf.DUMMYFUNCTION("IMPORTRANGE(""https://docs.google.com/spreadsheets/d/11923uPwbBZFjjGgGUA6NLw09EwE0CqkOc4q9oUmW1yo/edit?usp=sharing"",""พิจิตร!J377"")"),0)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5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IFERROR(__xludf.DUMMYFUNCTION("IMPORTRANGE(""https://docs.google.com/spreadsheets/d/11923uPwbBZFjjGgGUA6NLw09EwE0CqkOc4q9oUmW1yo/edit?usp=sharing"",""พิจิตร!I378"")"),0)</f>
        <v>0</v>
      </c>
      <c r="J483" s="188">
        <f ca="1">IFERROR(__xludf.DUMMYFUNCTION("IMPORTRANGE(""https://docs.google.com/spreadsheets/d/11923uPwbBZFjjGgGUA6NLw09EwE0CqkOc4q9oUmW1yo/edit?usp=sharing"",""พิจิตร!J378"")"),0)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5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IFERROR(__xludf.DUMMYFUNCTION("IMPORTRANGE(""https://docs.google.com/spreadsheets/d/11923uPwbBZFjjGgGUA6NLw09EwE0CqkOc4q9oUmW1yo/edit?usp=sharing"",""พิจิตร!I379"")"),0)</f>
        <v>0</v>
      </c>
      <c r="J484" s="188">
        <f ca="1">IFERROR(__xludf.DUMMYFUNCTION("IMPORTRANGE(""https://docs.google.com/spreadsheets/d/11923uPwbBZFjjGgGUA6NLw09EwE0CqkOc4q9oUmW1yo/edit?usp=sharing"",""พิจิตร!J379"")"),0)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5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IFERROR(__xludf.DUMMYFUNCTION("IMPORTRANGE(""https://docs.google.com/spreadsheets/d/11923uPwbBZFjjGgGUA6NLw09EwE0CqkOc4q9oUmW1yo/edit?usp=sharing"",""พิจิตร!I380"")"),0)</f>
        <v>0</v>
      </c>
      <c r="J485" s="188">
        <f ca="1">IFERROR(__xludf.DUMMYFUNCTION("IMPORTRANGE(""https://docs.google.com/spreadsheets/d/11923uPwbBZFjjGgGUA6NLw09EwE0CqkOc4q9oUmW1yo/edit?usp=sharing"",""พิจิตร!J380"")"),0)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5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IFERROR(__xludf.DUMMYFUNCTION("IMPORTRANGE(""https://docs.google.com/spreadsheets/d/11923uPwbBZFjjGgGUA6NLw09EwE0CqkOc4q9oUmW1yo/edit?usp=sharing"",""พิจิตร!I381"")"),0)</f>
        <v>0</v>
      </c>
      <c r="J486" s="188">
        <f ca="1">IFERROR(__xludf.DUMMYFUNCTION("IMPORTRANGE(""https://docs.google.com/spreadsheets/d/11923uPwbBZFjjGgGUA6NLw09EwE0CqkOc4q9oUmW1yo/edit?usp=sharing"",""พิจิตร!J381"")"),0)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5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IFERROR(__xludf.DUMMYFUNCTION("IMPORTRANGE(""https://docs.google.com/spreadsheets/d/11923uPwbBZFjjGgGUA6NLw09EwE0CqkOc4q9oUmW1yo/edit?usp=sharing"",""พิจิตร!I382"")"),0)</f>
        <v>0</v>
      </c>
      <c r="J487" s="418">
        <f ca="1">IFERROR(__xludf.DUMMYFUNCTION("IMPORTRANGE(""https://docs.google.com/spreadsheets/d/11923uPwbBZFjjGgGUA6NLw09EwE0CqkOc4q9oUmW1yo/edit?usp=sharing"",""พิจิตร!J382"")"),0)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5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IFERROR(__xludf.DUMMYFUNCTION("IMPORTRANGE(""https://docs.google.com/spreadsheets/d/11923uPwbBZFjjGgGUA6NLw09EwE0CqkOc4q9oUmW1yo/edit?usp=sharing"",""พิจิตร!I383"")"),0)</f>
        <v>0</v>
      </c>
      <c r="J488" s="418">
        <f ca="1">IFERROR(__xludf.DUMMYFUNCTION("IMPORTRANGE(""https://docs.google.com/spreadsheets/d/11923uPwbBZFjjGgGUA6NLw09EwE0CqkOc4q9oUmW1yo/edit?usp=sharing"",""พิจิตร!J383"")"),0)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5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IFERROR(__xludf.DUMMYFUNCTION("IMPORTRANGE(""https://docs.google.com/spreadsheets/d/11923uPwbBZFjjGgGUA6NLw09EwE0CqkOc4q9oUmW1yo/edit?usp=sharing"",""พิจิตร!I384"")"),0)</f>
        <v>0</v>
      </c>
      <c r="J489" s="188">
        <f ca="1">IFERROR(__xludf.DUMMYFUNCTION("IMPORTRANGE(""https://docs.google.com/spreadsheets/d/11923uPwbBZFjjGgGUA6NLw09EwE0CqkOc4q9oUmW1yo/edit?usp=sharing"",""พิจิตร!J384"")"),0)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5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IFERROR(__xludf.DUMMYFUNCTION("IMPORTRANGE(""https://docs.google.com/spreadsheets/d/11923uPwbBZFjjGgGUA6NLw09EwE0CqkOc4q9oUmW1yo/edit?usp=sharing"",""พิจิตร!I385"")"),0)</f>
        <v>0</v>
      </c>
      <c r="J490" s="188">
        <f ca="1">IFERROR(__xludf.DUMMYFUNCTION("IMPORTRANGE(""https://docs.google.com/spreadsheets/d/11923uPwbBZFjjGgGUA6NLw09EwE0CqkOc4q9oUmW1yo/edit?usp=sharing"",""พิจิตร!J385"")"),0)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5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IFERROR(__xludf.DUMMYFUNCTION("IMPORTRANGE(""https://docs.google.com/spreadsheets/d/11923uPwbBZFjjGgGUA6NLw09EwE0CqkOc4q9oUmW1yo/edit?usp=sharing"",""พิจิตร!I386"")"),0)</f>
        <v>0</v>
      </c>
      <c r="J491" s="188">
        <f ca="1">IFERROR(__xludf.DUMMYFUNCTION("IMPORTRANGE(""https://docs.google.com/spreadsheets/d/11923uPwbBZFjjGgGUA6NLw09EwE0CqkOc4q9oUmW1yo/edit?usp=sharing"",""พิจิตร!J386"")"),0)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5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IFERROR(__xludf.DUMMYFUNCTION("IMPORTRANGE(""https://docs.google.com/spreadsheets/d/11923uPwbBZFjjGgGUA6NLw09EwE0CqkOc4q9oUmW1yo/edit?usp=sharing"",""พิจิตร!I387"")"),0)</f>
        <v>0</v>
      </c>
      <c r="J492" s="188">
        <f ca="1">IFERROR(__xludf.DUMMYFUNCTION("IMPORTRANGE(""https://docs.google.com/spreadsheets/d/11923uPwbBZFjjGgGUA6NLw09EwE0CqkOc4q9oUmW1yo/edit?usp=sharing"",""พิจิตร!J387"")"),0)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5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IFERROR(__xludf.DUMMYFUNCTION("IMPORTRANGE(""https://docs.google.com/spreadsheets/d/11923uPwbBZFjjGgGUA6NLw09EwE0CqkOc4q9oUmW1yo/edit?usp=sharing"",""พิจิตร!I388"")"),0)</f>
        <v>0</v>
      </c>
      <c r="J493" s="188">
        <f ca="1">IFERROR(__xludf.DUMMYFUNCTION("IMPORTRANGE(""https://docs.google.com/spreadsheets/d/11923uPwbBZFjjGgGUA6NLw09EwE0CqkOc4q9oUmW1yo/edit?usp=sharing"",""พิจิตร!J388"")"),0)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5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IFERROR(__xludf.DUMMYFUNCTION("IMPORTRANGE(""https://docs.google.com/spreadsheets/d/11923uPwbBZFjjGgGUA6NLw09EwE0CqkOc4q9oUmW1yo/edit?usp=sharing"",""พิจิตร!I389"")"),0)</f>
        <v>0</v>
      </c>
      <c r="J494" s="434">
        <f ca="1">IFERROR(__xludf.DUMMYFUNCTION("IMPORTRANGE(""https://docs.google.com/spreadsheets/d/11923uPwbBZFjjGgGUA6NLw09EwE0CqkOc4q9oUmW1yo/edit?usp=sharing"",""พิจิตร!J389"")"),0)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5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IFERROR(__xludf.DUMMYFUNCTION("IMPORTRANGE(""https://docs.google.com/spreadsheets/d/11923uPwbBZFjjGgGUA6NLw09EwE0CqkOc4q9oUmW1yo/edit?usp=sharing"",""พิจิตร!I390"")"),0)</f>
        <v>0</v>
      </c>
      <c r="J495" s="434">
        <f ca="1">IFERROR(__xludf.DUMMYFUNCTION("IMPORTRANGE(""https://docs.google.com/spreadsheets/d/11923uPwbBZFjjGgGUA6NLw09EwE0CqkOc4q9oUmW1yo/edit?usp=sharing"",""พิจิตร!J390"")"),0)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5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IFERROR(__xludf.DUMMYFUNCTION("IMPORTRANGE(""https://docs.google.com/spreadsheets/d/11923uPwbBZFjjGgGUA6NLw09EwE0CqkOc4q9oUmW1yo/edit?usp=sharing"",""พิจิตร!I391"")"),0)</f>
        <v>0</v>
      </c>
      <c r="J496" s="434">
        <f ca="1">IFERROR(__xludf.DUMMYFUNCTION("IMPORTRANGE(""https://docs.google.com/spreadsheets/d/11923uPwbBZFjjGgGUA6NLw09EwE0CqkOc4q9oUmW1yo/edit?usp=sharing"",""พิจิตร!J391"")"),0)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5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IFERROR(__xludf.DUMMYFUNCTION("IMPORTRANGE(""https://docs.google.com/spreadsheets/d/11923uPwbBZFjjGgGUA6NLw09EwE0CqkOc4q9oUmW1yo/edit?usp=sharing"",""พิจิตร!I392"")"),1124)</f>
        <v>1124</v>
      </c>
      <c r="J497" s="441">
        <f ca="1">IFERROR(__xludf.DUMMYFUNCTION("IMPORTRANGE(""https://docs.google.com/spreadsheets/d/11923uPwbBZFjjGgGUA6NLw09EwE0CqkOc4q9oUmW1yo/edit?usp=sharing"",""พิจิตร!J392"")"),0)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5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IFERROR(__xludf.DUMMYFUNCTION("IMPORTRANGE(""https://docs.google.com/spreadsheets/d/11923uPwbBZFjjGgGUA6NLw09EwE0CqkOc4q9oUmW1yo/edit?usp=sharing"",""พิจิตร!I393"")"),1124)</f>
        <v>1124</v>
      </c>
      <c r="J498" s="418">
        <f ca="1">IFERROR(__xludf.DUMMYFUNCTION("IMPORTRANGE(""https://docs.google.com/spreadsheets/d/11923uPwbBZFjjGgGUA6NLw09EwE0CqkOc4q9oUmW1yo/edit?usp=sharing"",""พิจิตร!J393"")"),0)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5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IFERROR(__xludf.DUMMYFUNCTION("IMPORTRANGE(""https://docs.google.com/spreadsheets/d/11923uPwbBZFjjGgGUA6NLw09EwE0CqkOc4q9oUmW1yo/edit?usp=sharing"",""พิจิตร!I394"")"),58)</f>
        <v>58</v>
      </c>
      <c r="J499" s="418">
        <f ca="1">IFERROR(__xludf.DUMMYFUNCTION("IMPORTRANGE(""https://docs.google.com/spreadsheets/d/11923uPwbBZFjjGgGUA6NLw09EwE0CqkOc4q9oUmW1yo/edit?usp=sharing"",""พิจิตร!J394"")"),0)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5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IFERROR(__xludf.DUMMYFUNCTION("IMPORTRANGE(""https://docs.google.com/spreadsheets/d/11923uPwbBZFjjGgGUA6NLw09EwE0CqkOc4q9oUmW1yo/edit?usp=sharing"",""พิจิตร!I395"")"),0)</f>
        <v>0</v>
      </c>
      <c r="J500" s="162">
        <f ca="1">IFERROR(__xludf.DUMMYFUNCTION("IMPORTRANGE(""https://docs.google.com/spreadsheets/d/11923uPwbBZFjjGgGUA6NLw09EwE0CqkOc4q9oUmW1yo/edit?usp=sharing"",""พิจิตร!J395"")"),0)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5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IFERROR(__xludf.DUMMYFUNCTION("IMPORTRANGE(""https://docs.google.com/spreadsheets/d/11923uPwbBZFjjGgGUA6NLw09EwE0CqkOc4q9oUmW1yo/edit?usp=sharing"",""พิจิตร!I396"")"),0)</f>
        <v>0</v>
      </c>
      <c r="J501" s="162">
        <f ca="1">IFERROR(__xludf.DUMMYFUNCTION("IMPORTRANGE(""https://docs.google.com/spreadsheets/d/11923uPwbBZFjjGgGUA6NLw09EwE0CqkOc4q9oUmW1yo/edit?usp=sharing"",""พิจิตร!J396"")"),0)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5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IFERROR(__xludf.DUMMYFUNCTION("IMPORTRANGE(""https://docs.google.com/spreadsheets/d/11923uPwbBZFjjGgGUA6NLw09EwE0CqkOc4q9oUmW1yo/edit?usp=sharing"",""พิจิตร!I397"")"),0)</f>
        <v>0</v>
      </c>
      <c r="J502" s="188">
        <f ca="1">IFERROR(__xludf.DUMMYFUNCTION("IMPORTRANGE(""https://docs.google.com/spreadsheets/d/11923uPwbBZFjjGgGUA6NLw09EwE0CqkOc4q9oUmW1yo/edit?usp=sharing"",""พิจิตร!J397"")"),0)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5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IFERROR(__xludf.DUMMYFUNCTION("IMPORTRANGE(""https://docs.google.com/spreadsheets/d/11923uPwbBZFjjGgGUA6NLw09EwE0CqkOc4q9oUmW1yo/edit?usp=sharing"",""พิจิตร!I398"")"),0)</f>
        <v>0</v>
      </c>
      <c r="J503" s="197">
        <f ca="1">IFERROR(__xludf.DUMMYFUNCTION("IMPORTRANGE(""https://docs.google.com/spreadsheets/d/11923uPwbBZFjjGgGUA6NLw09EwE0CqkOc4q9oUmW1yo/edit?usp=sharing"",""พิจิตร!J398"")"),0)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5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IFERROR(__xludf.DUMMYFUNCTION("IMPORTRANGE(""https://docs.google.com/spreadsheets/d/11923uPwbBZFjjGgGUA6NLw09EwE0CqkOc4q9oUmW1yo/edit?usp=sharing"",""พิจิตร!I399"")"),0)</f>
        <v>0</v>
      </c>
      <c r="J504" s="188">
        <f ca="1">IFERROR(__xludf.DUMMYFUNCTION("IMPORTRANGE(""https://docs.google.com/spreadsheets/d/11923uPwbBZFjjGgGUA6NLw09EwE0CqkOc4q9oUmW1yo/edit?usp=sharing"",""พิจิตร!J399"")"),0)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5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IFERROR(__xludf.DUMMYFUNCTION("IMPORTRANGE(""https://docs.google.com/spreadsheets/d/11923uPwbBZFjjGgGUA6NLw09EwE0CqkOc4q9oUmW1yo/edit?usp=sharing"",""พิจิตร!I400"")"),0)</f>
        <v>0</v>
      </c>
      <c r="J505" s="197">
        <f ca="1">IFERROR(__xludf.DUMMYFUNCTION("IMPORTRANGE(""https://docs.google.com/spreadsheets/d/11923uPwbBZFjjGgGUA6NLw09EwE0CqkOc4q9oUmW1yo/edit?usp=sharing"",""พิจิตร!J400"")"),0)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5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IFERROR(__xludf.DUMMYFUNCTION("IMPORTRANGE(""https://docs.google.com/spreadsheets/d/11923uPwbBZFjjGgGUA6NLw09EwE0CqkOc4q9oUmW1yo/edit?usp=sharing"",""พิจิตร!I401"")"),0)</f>
        <v>0</v>
      </c>
      <c r="J506" s="188">
        <f ca="1">IFERROR(__xludf.DUMMYFUNCTION("IMPORTRANGE(""https://docs.google.com/spreadsheets/d/11923uPwbBZFjjGgGUA6NLw09EwE0CqkOc4q9oUmW1yo/edit?usp=sharing"",""พิจิตร!J401"")"),0)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5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IFERROR(__xludf.DUMMYFUNCTION("IMPORTRANGE(""https://docs.google.com/spreadsheets/d/11923uPwbBZFjjGgGUA6NLw09EwE0CqkOc4q9oUmW1yo/edit?usp=sharing"",""พิจิตร!I402"")"),0)</f>
        <v>0</v>
      </c>
      <c r="J507" s="197">
        <f ca="1">IFERROR(__xludf.DUMMYFUNCTION("IMPORTRANGE(""https://docs.google.com/spreadsheets/d/11923uPwbBZFjjGgGUA6NLw09EwE0CqkOc4q9oUmW1yo/edit?usp=sharing"",""พิจิตร!J402"")"),0)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5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IFERROR(__xludf.DUMMYFUNCTION("IMPORTRANGE(""https://docs.google.com/spreadsheets/d/11923uPwbBZFjjGgGUA6NLw09EwE0CqkOc4q9oUmW1yo/edit?usp=sharing"",""พิจิตร!I403"")"),0)</f>
        <v>0</v>
      </c>
      <c r="J508" s="162">
        <f ca="1">IFERROR(__xludf.DUMMYFUNCTION("IMPORTRANGE(""https://docs.google.com/spreadsheets/d/11923uPwbBZFjjGgGUA6NLw09EwE0CqkOc4q9oUmW1yo/edit?usp=sharing"",""พิจิตร!J403"")"),0)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5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IFERROR(__xludf.DUMMYFUNCTION("IMPORTRANGE(""https://docs.google.com/spreadsheets/d/11923uPwbBZFjjGgGUA6NLw09EwE0CqkOc4q9oUmW1yo/edit?usp=sharing"",""พิจิตร!I404"")"),0)</f>
        <v>0</v>
      </c>
      <c r="J509" s="162">
        <f ca="1">IFERROR(__xludf.DUMMYFUNCTION("IMPORTRANGE(""https://docs.google.com/spreadsheets/d/11923uPwbBZFjjGgGUA6NLw09EwE0CqkOc4q9oUmW1yo/edit?usp=sharing"",""พิจิตร!J404"")"),0)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5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IFERROR(__xludf.DUMMYFUNCTION("IMPORTRANGE(""https://docs.google.com/spreadsheets/d/11923uPwbBZFjjGgGUA6NLw09EwE0CqkOc4q9oUmW1yo/edit?usp=sharing"",""พิจิตร!I405"")"),0)</f>
        <v>0</v>
      </c>
      <c r="J510" s="197">
        <f ca="1">IFERROR(__xludf.DUMMYFUNCTION("IMPORTRANGE(""https://docs.google.com/spreadsheets/d/11923uPwbBZFjjGgGUA6NLw09EwE0CqkOc4q9oUmW1yo/edit?usp=sharing"",""พิจิตร!J405"")"),0)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5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IFERROR(__xludf.DUMMYFUNCTION("IMPORTRANGE(""https://docs.google.com/spreadsheets/d/11923uPwbBZFjjGgGUA6NLw09EwE0CqkOc4q9oUmW1yo/edit?usp=sharing"",""พิจิตร!I406"")"),0)</f>
        <v>0</v>
      </c>
      <c r="J511" s="197">
        <f ca="1">IFERROR(__xludf.DUMMYFUNCTION("IMPORTRANGE(""https://docs.google.com/spreadsheets/d/11923uPwbBZFjjGgGUA6NLw09EwE0CqkOc4q9oUmW1yo/edit?usp=sharing"",""พิจิตร!J406"")"),0)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5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IFERROR(__xludf.DUMMYFUNCTION("IMPORTRANGE(""https://docs.google.com/spreadsheets/d/11923uPwbBZFjjGgGUA6NLw09EwE0CqkOc4q9oUmW1yo/edit?usp=sharing"",""พิจิตร!I407"")"),0)</f>
        <v>0</v>
      </c>
      <c r="J512" s="197">
        <f ca="1">IFERROR(__xludf.DUMMYFUNCTION("IMPORTRANGE(""https://docs.google.com/spreadsheets/d/11923uPwbBZFjjGgGUA6NLw09EwE0CqkOc4q9oUmW1yo/edit?usp=sharing"",""พิจิตร!J407"")"),0)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5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IFERROR(__xludf.DUMMYFUNCTION("IMPORTRANGE(""https://docs.google.com/spreadsheets/d/11923uPwbBZFjjGgGUA6NLw09EwE0CqkOc4q9oUmW1yo/edit?usp=sharing"",""พิจิตร!I408"")"),0)</f>
        <v>0</v>
      </c>
      <c r="J513" s="197">
        <f ca="1">IFERROR(__xludf.DUMMYFUNCTION("IMPORTRANGE(""https://docs.google.com/spreadsheets/d/11923uPwbBZFjjGgGUA6NLw09EwE0CqkOc4q9oUmW1yo/edit?usp=sharing"",""พิจิตร!J408"")"),0)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5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IFERROR(__xludf.DUMMYFUNCTION("IMPORTRANGE(""https://docs.google.com/spreadsheets/d/11923uPwbBZFjjGgGUA6NLw09EwE0CqkOc4q9oUmW1yo/edit?usp=sharing"",""พิจิตร!I409"")"),0)</f>
        <v>0</v>
      </c>
      <c r="J514" s="197">
        <f ca="1">IFERROR(__xludf.DUMMYFUNCTION("IMPORTRANGE(""https://docs.google.com/spreadsheets/d/11923uPwbBZFjjGgGUA6NLw09EwE0CqkOc4q9oUmW1yo/edit?usp=sharing"",""พิจิตร!J409"")"),0)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5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IFERROR(__xludf.DUMMYFUNCTION("IMPORTRANGE(""https://docs.google.com/spreadsheets/d/11923uPwbBZFjjGgGUA6NLw09EwE0CqkOc4q9oUmW1yo/edit?usp=sharing"",""พิจิตร!I410"")"),0)</f>
        <v>0</v>
      </c>
      <c r="J515" s="197">
        <f ca="1">IFERROR(__xludf.DUMMYFUNCTION("IMPORTRANGE(""https://docs.google.com/spreadsheets/d/11923uPwbBZFjjGgGUA6NLw09EwE0CqkOc4q9oUmW1yo/edit?usp=sharing"",""พิจิตร!J410"")"),0)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5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IFERROR(__xludf.DUMMYFUNCTION("IMPORTRANGE(""https://docs.google.com/spreadsheets/d/11923uPwbBZFjjGgGUA6NLw09EwE0CqkOc4q9oUmW1yo/edit?usp=sharing"",""พิจิตร!I411"")"),0)</f>
        <v>0</v>
      </c>
      <c r="J516" s="266">
        <f ca="1">IFERROR(__xludf.DUMMYFUNCTION("IMPORTRANGE(""https://docs.google.com/spreadsheets/d/11923uPwbBZFjjGgGUA6NLw09EwE0CqkOc4q9oUmW1yo/edit?usp=sharing"",""พิจิตร!J411"")"),0)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5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IFERROR(__xludf.DUMMYFUNCTION("IMPORTRANGE(""https://docs.google.com/spreadsheets/d/11923uPwbBZFjjGgGUA6NLw09EwE0CqkOc4q9oUmW1yo/edit?usp=sharing"",""พิจิตร!I412"")"),0)</f>
        <v>0</v>
      </c>
      <c r="J517" s="282">
        <f ca="1">IFERROR(__xludf.DUMMYFUNCTION("IMPORTRANGE(""https://docs.google.com/spreadsheets/d/11923uPwbBZFjjGgGUA6NLw09EwE0CqkOc4q9oUmW1yo/edit?usp=sharing"",""พิจิตร!J412"")"),0)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5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IFERROR(__xludf.DUMMYFUNCTION("IMPORTRANGE(""https://docs.google.com/spreadsheets/d/11923uPwbBZFjjGgGUA6NLw09EwE0CqkOc4q9oUmW1yo/edit?usp=sharing"",""พิจิตร!I413"")"),0)</f>
        <v>0</v>
      </c>
      <c r="J518" s="282">
        <f ca="1">IFERROR(__xludf.DUMMYFUNCTION("IMPORTRANGE(""https://docs.google.com/spreadsheets/d/11923uPwbBZFjjGgGUA6NLw09EwE0CqkOc4q9oUmW1yo/edit?usp=sharing"",""พิจิตร!J413"")"),0)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5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IFERROR(__xludf.DUMMYFUNCTION("IMPORTRANGE(""https://docs.google.com/spreadsheets/d/11923uPwbBZFjjGgGUA6NLw09EwE0CqkOc4q9oUmW1yo/edit?usp=sharing"",""พิจิตร!I414"")"),0)</f>
        <v>0</v>
      </c>
      <c r="J519" s="187">
        <f ca="1">IFERROR(__xludf.DUMMYFUNCTION("IMPORTRANGE(""https://docs.google.com/spreadsheets/d/11923uPwbBZFjjGgGUA6NLw09EwE0CqkOc4q9oUmW1yo/edit?usp=sharing"",""พิจิตร!J414"")"),0)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5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IFERROR(__xludf.DUMMYFUNCTION("IMPORTRANGE(""https://docs.google.com/spreadsheets/d/11923uPwbBZFjjGgGUA6NLw09EwE0CqkOc4q9oUmW1yo/edit?usp=sharing"",""พิจิตร!I415"")"),0)</f>
        <v>0</v>
      </c>
      <c r="J520" s="187">
        <f ca="1">IFERROR(__xludf.DUMMYFUNCTION("IMPORTRANGE(""https://docs.google.com/spreadsheets/d/11923uPwbBZFjjGgGUA6NLw09EwE0CqkOc4q9oUmW1yo/edit?usp=sharing"",""พิจิตร!J415"")"),0)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5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IFERROR(__xludf.DUMMYFUNCTION("IMPORTRANGE(""https://docs.google.com/spreadsheets/d/11923uPwbBZFjjGgGUA6NLw09EwE0CqkOc4q9oUmW1yo/edit?usp=sharing"",""พิจิตร!I416"")"),0)</f>
        <v>0</v>
      </c>
      <c r="J521" s="187">
        <f ca="1">IFERROR(__xludf.DUMMYFUNCTION("IMPORTRANGE(""https://docs.google.com/spreadsheets/d/11923uPwbBZFjjGgGUA6NLw09EwE0CqkOc4q9oUmW1yo/edit?usp=sharing"",""พิจิตร!J416"")"),0)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5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IFERROR(__xludf.DUMMYFUNCTION("IMPORTRANGE(""https://docs.google.com/spreadsheets/d/11923uPwbBZFjjGgGUA6NLw09EwE0CqkOc4q9oUmW1yo/edit?usp=sharing"",""พิจิตร!I417"")"),0)</f>
        <v>0</v>
      </c>
      <c r="J522" s="187">
        <f ca="1">IFERROR(__xludf.DUMMYFUNCTION("IMPORTRANGE(""https://docs.google.com/spreadsheets/d/11923uPwbBZFjjGgGUA6NLw09EwE0CqkOc4q9oUmW1yo/edit?usp=sharing"",""พิจิตร!J417"")"),0)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5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IFERROR(__xludf.DUMMYFUNCTION("IMPORTRANGE(""https://docs.google.com/spreadsheets/d/11923uPwbBZFjjGgGUA6NLw09EwE0CqkOc4q9oUmW1yo/edit?usp=sharing"",""พิจิตร!I418"")"),0)</f>
        <v>0</v>
      </c>
      <c r="J523" s="187">
        <f ca="1">IFERROR(__xludf.DUMMYFUNCTION("IMPORTRANGE(""https://docs.google.com/spreadsheets/d/11923uPwbBZFjjGgGUA6NLw09EwE0CqkOc4q9oUmW1yo/edit?usp=sharing"",""พิจิตร!J418"")"),106)</f>
        <v>106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5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IFERROR(__xludf.DUMMYFUNCTION("IMPORTRANGE(""https://docs.google.com/spreadsheets/d/11923uPwbBZFjjGgGUA6NLw09EwE0CqkOc4q9oUmW1yo/edit?usp=sharing"",""พิจิตร!I419"")"),0)</f>
        <v>0</v>
      </c>
      <c r="J524" s="187">
        <f ca="1">IFERROR(__xludf.DUMMYFUNCTION("IMPORTRANGE(""https://docs.google.com/spreadsheets/d/11923uPwbBZFjjGgGUA6NLw09EwE0CqkOc4q9oUmW1yo/edit?usp=sharing"",""พิจิตร!J419"")"),30)</f>
        <v>30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5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IFERROR(__xludf.DUMMYFUNCTION("IMPORTRANGE(""https://docs.google.com/spreadsheets/d/11923uPwbBZFjjGgGUA6NLw09EwE0CqkOc4q9oUmW1yo/edit?usp=sharing"",""พิจิตร!I420"")"),106)</f>
        <v>106</v>
      </c>
      <c r="J525" s="282">
        <f ca="1">IFERROR(__xludf.DUMMYFUNCTION("IMPORTRANGE(""https://docs.google.com/spreadsheets/d/11923uPwbBZFjjGgGUA6NLw09EwE0CqkOc4q9oUmW1yo/edit?usp=sharing"",""พิจิตร!J420"")"),0)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5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IFERROR(__xludf.DUMMYFUNCTION("IMPORTRANGE(""https://docs.google.com/spreadsheets/d/11923uPwbBZFjjGgGUA6NLw09EwE0CqkOc4q9oUmW1yo/edit?usp=sharing"",""พิจิตร!I421"")"),30)</f>
        <v>30</v>
      </c>
      <c r="J526" s="282">
        <f ca="1">IFERROR(__xludf.DUMMYFUNCTION("IMPORTRANGE(""https://docs.google.com/spreadsheets/d/11923uPwbBZFjjGgGUA6NLw09EwE0CqkOc4q9oUmW1yo/edit?usp=sharing"",""พิจิตร!J421"")"),0)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5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IFERROR(__xludf.DUMMYFUNCTION("IMPORTRANGE(""https://docs.google.com/spreadsheets/d/11923uPwbBZFjjGgGUA6NLw09EwE0CqkOc4q9oUmW1yo/edit?usp=sharing"",""พิจิตร!I422"")"),0)</f>
        <v>0</v>
      </c>
      <c r="J527" s="197">
        <f ca="1">IFERROR(__xludf.DUMMYFUNCTION("IMPORTRANGE(""https://docs.google.com/spreadsheets/d/11923uPwbBZFjjGgGUA6NLw09EwE0CqkOc4q9oUmW1yo/edit?usp=sharing"",""พิจิตร!J422"")"),0)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5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IFERROR(__xludf.DUMMYFUNCTION("IMPORTRANGE(""https://docs.google.com/spreadsheets/d/11923uPwbBZFjjGgGUA6NLw09EwE0CqkOc4q9oUmW1yo/edit?usp=sharing"",""พิจิตร!I423"")"),0)</f>
        <v>0</v>
      </c>
      <c r="J528" s="197">
        <f ca="1">IFERROR(__xludf.DUMMYFUNCTION("IMPORTRANGE(""https://docs.google.com/spreadsheets/d/11923uPwbBZFjjGgGUA6NLw09EwE0CqkOc4q9oUmW1yo/edit?usp=sharing"",""พิจิตร!J423"")"),0)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5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IFERROR(__xludf.DUMMYFUNCTION("IMPORTRANGE(""https://docs.google.com/spreadsheets/d/11923uPwbBZFjjGgGUA6NLw09EwE0CqkOc4q9oUmW1yo/edit?usp=sharing"",""พิจิตร!I424"")"),0)</f>
        <v>0</v>
      </c>
      <c r="J529" s="197">
        <f ca="1">IFERROR(__xludf.DUMMYFUNCTION("IMPORTRANGE(""https://docs.google.com/spreadsheets/d/11923uPwbBZFjjGgGUA6NLw09EwE0CqkOc4q9oUmW1yo/edit?usp=sharing"",""พิจิตร!J424"")"),0)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5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IFERROR(__xludf.DUMMYFUNCTION("IMPORTRANGE(""https://docs.google.com/spreadsheets/d/11923uPwbBZFjjGgGUA6NLw09EwE0CqkOc4q9oUmW1yo/edit?usp=sharing"",""พิจิตร!I425"")"),0)</f>
        <v>0</v>
      </c>
      <c r="J530" s="197">
        <f ca="1">IFERROR(__xludf.DUMMYFUNCTION("IMPORTRANGE(""https://docs.google.com/spreadsheets/d/11923uPwbBZFjjGgGUA6NLw09EwE0CqkOc4q9oUmW1yo/edit?usp=sharing"",""พิจิตร!J425"")"),0)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5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IFERROR(__xludf.DUMMYFUNCTION("IMPORTRANGE(""https://docs.google.com/spreadsheets/d/11923uPwbBZFjjGgGUA6NLw09EwE0CqkOc4q9oUmW1yo/edit?usp=sharing"",""พิจิตร!I426"")"),0)</f>
        <v>0</v>
      </c>
      <c r="J531" s="197">
        <f ca="1">IFERROR(__xludf.DUMMYFUNCTION("IMPORTRANGE(""https://docs.google.com/spreadsheets/d/11923uPwbBZFjjGgGUA6NLw09EwE0CqkOc4q9oUmW1yo/edit?usp=sharing"",""พิจิตร!J426"")"),0)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5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IFERROR(__xludf.DUMMYFUNCTION("IMPORTRANGE(""https://docs.google.com/spreadsheets/d/11923uPwbBZFjjGgGUA6NLw09EwE0CqkOc4q9oUmW1yo/edit?usp=sharing"",""พิจิตร!I427"")"),0)</f>
        <v>0</v>
      </c>
      <c r="J532" s="464">
        <f ca="1">IFERROR(__xludf.DUMMYFUNCTION("IMPORTRANGE(""https://docs.google.com/spreadsheets/d/11923uPwbBZFjjGgGUA6NLw09EwE0CqkOc4q9oUmW1yo/edit?usp=sharing"",""พิจิตร!J427"")"),0)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5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IFERROR(__xludf.DUMMYFUNCTION("IMPORTRANGE(""https://docs.google.com/spreadsheets/d/11923uPwbBZFjjGgGUA6NLw09EwE0CqkOc4q9oUmW1yo/edit?usp=sharing"",""พิจิตร!I428"")"),22)</f>
        <v>22</v>
      </c>
      <c r="J533" s="408">
        <f ca="1">IFERROR(__xludf.DUMMYFUNCTION("IMPORTRANGE(""https://docs.google.com/spreadsheets/d/11923uPwbBZFjjGgGUA6NLw09EwE0CqkOc4q9oUmW1yo/edit?usp=sharing"",""พิจิตร!J428"")"),22)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IFERROR(__xludf.DUMMYFUNCTION("IMPORTRANGE(""https://docs.google.com/spreadsheets/d/11923uPwbBZFjjGgGUA6NLw09EwE0CqkOc4q9oUmW1yo/edit?usp=sharing"",""พิจิตร!L428"")"),34340)</f>
        <v>34340</v>
      </c>
      <c r="M533" s="410"/>
      <c r="N533" s="410">
        <f ca="1">IFERROR(__xludf.DUMMYFUNCTION("IMPORTRANGE(""https://docs.google.com/spreadsheets/d/11923uPwbBZFjjGgGUA6NLw09EwE0CqkOc4q9oUmW1yo/edit?usp=sharing"",""พิจิตร!M428"")"),18181)</f>
        <v>18181</v>
      </c>
      <c r="O533" s="410">
        <f t="shared" ref="O533:O537" ca="1" si="118">+IF(L533&gt;0,N533*100/L533,0)</f>
        <v>52.944088526499712</v>
      </c>
      <c r="P533" s="410"/>
    </row>
    <row r="534" spans="1:16" ht="21.75" customHeight="1" x14ac:dyDescent="0.35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IFERROR(__xludf.DUMMYFUNCTION("IMPORTRANGE(""https://docs.google.com/spreadsheets/d/11923uPwbBZFjjGgGUA6NLw09EwE0CqkOc4q9oUmW1yo/edit?usp=sharing"",""พิจิตร!L429"")"),0)</f>
        <v>0</v>
      </c>
      <c r="M534" s="164"/>
      <c r="N534" s="168">
        <f ca="1">IFERROR(__xludf.DUMMYFUNCTION("IMPORTRANGE(""https://docs.google.com/spreadsheets/d/11923uPwbBZFjjGgGUA6NLw09EwE0CqkOc4q9oUmW1yo/edit?usp=sharing"",""พิจิตร!M429"")"),0)</f>
        <v>0</v>
      </c>
      <c r="O534" s="168">
        <f t="shared" ca="1" si="118"/>
        <v>0</v>
      </c>
      <c r="P534" s="168"/>
    </row>
    <row r="535" spans="1:16" ht="21.75" customHeight="1" x14ac:dyDescent="0.35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IFERROR(__xludf.DUMMYFUNCTION("IMPORTRANGE(""https://docs.google.com/spreadsheets/d/11923uPwbBZFjjGgGUA6NLw09EwE0CqkOc4q9oUmW1yo/edit?usp=sharing"",""พิจิตร!L430"")"),34340)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IFERROR(__xludf.DUMMYFUNCTION("IMPORTRANGE(""https://docs.google.com/spreadsheets/d/11923uPwbBZFjjGgGUA6NLw09EwE0CqkOc4q9oUmW1yo/edit?usp=sharing"",""พิจิตร!M430"")"),18181)</f>
        <v>18181</v>
      </c>
      <c r="O535" s="168">
        <f t="shared" ca="1" si="118"/>
        <v>52.944088526499712</v>
      </c>
      <c r="P535" s="168"/>
    </row>
    <row r="536" spans="1:16" ht="21.75" customHeight="1" x14ac:dyDescent="0.35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IFERROR(__xludf.DUMMYFUNCTION("IMPORTRANGE(""https://docs.google.com/spreadsheets/d/11923uPwbBZFjjGgGUA6NLw09EwE0CqkOc4q9oUmW1yo/edit?usp=sharing"",""พิจิตร!L431"")"),0)</f>
        <v>0</v>
      </c>
      <c r="M536" s="168"/>
      <c r="N536" s="168">
        <f ca="1">IFERROR(__xludf.DUMMYFUNCTION("IMPORTRANGE(""https://docs.google.com/spreadsheets/d/11923uPwbBZFjjGgGUA6NLw09EwE0CqkOc4q9oUmW1yo/edit?usp=sharing"",""พิจิตร!M431"")"),0)</f>
        <v>0</v>
      </c>
      <c r="O536" s="168">
        <f t="shared" ca="1" si="118"/>
        <v>0</v>
      </c>
      <c r="P536" s="168"/>
    </row>
    <row r="537" spans="1:16" ht="21.75" customHeight="1" x14ac:dyDescent="0.35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IFERROR(__xludf.DUMMYFUNCTION("IMPORTRANGE(""https://docs.google.com/spreadsheets/d/11923uPwbBZFjjGgGUA6NLw09EwE0CqkOc4q9oUmW1yo/edit?usp=sharing"",""พิจิตร!L432"")"),34340)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IFERROR(__xludf.DUMMYFUNCTION("IMPORTRANGE(""https://docs.google.com/spreadsheets/d/11923uPwbBZFjjGgGUA6NLw09EwE0CqkOc4q9oUmW1yo/edit?usp=sharing"",""พิจิตร!M432"")"),18181)</f>
        <v>18181</v>
      </c>
      <c r="O537" s="168">
        <f t="shared" ca="1" si="118"/>
        <v>52.944088526499712</v>
      </c>
      <c r="P537" s="168"/>
    </row>
    <row r="538" spans="1:16" ht="21.75" customHeight="1" x14ac:dyDescent="0.35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IFERROR(__xludf.DUMMYFUNCTION("IMPORTRANGE(""https://docs.google.com/spreadsheets/d/11923uPwbBZFjjGgGUA6NLw09EwE0CqkOc4q9oUmW1yo/edit?usp=sharing"",""พิจิตร!M433"")"),17181)</f>
        <v>17181</v>
      </c>
      <c r="O538" s="168"/>
      <c r="P538" s="168"/>
    </row>
    <row r="539" spans="1:16" ht="21.75" customHeight="1" x14ac:dyDescent="0.35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IFERROR(__xludf.DUMMYFUNCTION("IMPORTRANGE(""https://docs.google.com/spreadsheets/d/11923uPwbBZFjjGgGUA6NLw09EwE0CqkOc4q9oUmW1yo/edit?usp=sharing"",""พิจิตร!M434"")"),0)</f>
        <v>0</v>
      </c>
      <c r="O539" s="168"/>
      <c r="P539" s="168"/>
    </row>
    <row r="540" spans="1:16" ht="21.75" customHeight="1" x14ac:dyDescent="0.35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IFERROR(__xludf.DUMMYFUNCTION("IMPORTRANGE(""https://docs.google.com/spreadsheets/d/11923uPwbBZFjjGgGUA6NLw09EwE0CqkOc4q9oUmW1yo/edit?usp=sharing"",""พิจิตร!M435"")"),0)</f>
        <v>0</v>
      </c>
      <c r="O540" s="168"/>
      <c r="P540" s="168"/>
    </row>
    <row r="541" spans="1:16" ht="21.75" customHeight="1" x14ac:dyDescent="0.35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IFERROR(__xludf.DUMMYFUNCTION("IMPORTRANGE(""https://docs.google.com/spreadsheets/d/11923uPwbBZFjjGgGUA6NLw09EwE0CqkOc4q9oUmW1yo/edit?usp=sharing"",""พิจิตร!M436"")"),1000)</f>
        <v>1000</v>
      </c>
      <c r="O541" s="168"/>
      <c r="P541" s="168"/>
    </row>
    <row r="542" spans="1:16" ht="21.75" customHeight="1" x14ac:dyDescent="0.35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5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IFERROR(__xludf.DUMMYFUNCTION("IMPORTRANGE(""https://docs.google.com/spreadsheets/d/11923uPwbBZFjjGgGUA6NLw09EwE0CqkOc4q9oUmW1yo/edit?usp=sharing"",""พิจิตร!J438"")"),0)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5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IFERROR(__xludf.DUMMYFUNCTION("IMPORTRANGE(""https://docs.google.com/spreadsheets/d/11923uPwbBZFjjGgGUA6NLw09EwE0CqkOc4q9oUmW1yo/edit?usp=sharing"",""พิจิตร!J439"")"),1)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5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IFERROR(__xludf.DUMMYFUNCTION("IMPORTRANGE(""https://docs.google.com/spreadsheets/d/11923uPwbBZFjjGgGUA6NLw09EwE0CqkOc4q9oUmW1yo/edit?usp=sharing"",""พิจิตร!J440"")"),1)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5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IFERROR(__xludf.DUMMYFUNCTION("IMPORTRANGE(""https://docs.google.com/spreadsheets/d/11923uPwbBZFjjGgGUA6NLw09EwE0CqkOc4q9oUmW1yo/edit?usp=sharing"",""พิจิตร!J441"")"),1)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5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IFERROR(__xludf.DUMMYFUNCTION("IMPORTRANGE(""https://docs.google.com/spreadsheets/d/11923uPwbBZFjjGgGUA6NLw09EwE0CqkOc4q9oUmW1yo/edit?usp=sharing"",""พิจิตร!I442"")"),22)</f>
        <v>22</v>
      </c>
      <c r="J547" s="188">
        <f ca="1">IFERROR(__xludf.DUMMYFUNCTION("IMPORTRANGE(""https://docs.google.com/spreadsheets/d/11923uPwbBZFjjGgGUA6NLw09EwE0CqkOc4q9oUmW1yo/edit?usp=sharing"",""พิจิตร!J442"")"),22)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5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IFERROR(__xludf.DUMMYFUNCTION("IMPORTRANGE(""https://docs.google.com/spreadsheets/d/11923uPwbBZFjjGgGUA6NLw09EwE0CqkOc4q9oUmW1yo/edit?usp=sharing"",""พิจิตร!J166"")"),0)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5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IFERROR(__xludf.DUMMYFUNCTION("IMPORTRANGE(""https://docs.google.com/spreadsheets/d/11923uPwbBZFjjGgGUA6NLw09EwE0CqkOc4q9oUmW1yo/edit?usp=sharing"",""พิจิตร!J444"")"),1)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5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IFERROR(__xludf.DUMMYFUNCTION("IMPORTRANGE(""https://docs.google.com/spreadsheets/d/11923uPwbBZFjjGgGUA6NLw09EwE0CqkOc4q9oUmW1yo/edit?usp=sharing"",""พิจิตร!J445"")"),0)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5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IFERROR(__xludf.DUMMYFUNCTION("IMPORTRANGE(""https://docs.google.com/spreadsheets/d/11923uPwbBZFjjGgGUA6NLw09EwE0CqkOc4q9oUmW1yo/edit?usp=sharing"",""พิจิตร!I446"")"),0)</f>
        <v>0</v>
      </c>
      <c r="J551" s="408">
        <f ca="1">IFERROR(__xludf.DUMMYFUNCTION("IMPORTRANGE(""https://docs.google.com/spreadsheets/d/11923uPwbBZFjjGgGUA6NLw09EwE0CqkOc4q9oUmW1yo/edit?usp=sharing"",""พิจิตร!J446"")"),0)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IFERROR(__xludf.DUMMYFUNCTION("IMPORTRANGE(""https://docs.google.com/spreadsheets/d/11923uPwbBZFjjGgGUA6NLw09EwE0CqkOc4q9oUmW1yo/edit?usp=sharing"",""พิจิตร!L446"")"),0)</f>
        <v>0</v>
      </c>
      <c r="M551" s="410"/>
      <c r="N551" s="410">
        <f ca="1">IFERROR(__xludf.DUMMYFUNCTION("IMPORTRANGE(""https://docs.google.com/spreadsheets/d/11923uPwbBZFjjGgGUA6NLw09EwE0CqkOc4q9oUmW1yo/edit?usp=sharing"",""พิจิตร!M446"")"),0)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5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IFERROR(__xludf.DUMMYFUNCTION("IMPORTRANGE(""https://docs.google.com/spreadsheets/d/11923uPwbBZFjjGgGUA6NLw09EwE0CqkOc4q9oUmW1yo/edit?usp=sharing"",""พิจิตร!L447"")"),0)</f>
        <v>0</v>
      </c>
      <c r="M552" s="164"/>
      <c r="N552" s="168">
        <f ca="1">IFERROR(__xludf.DUMMYFUNCTION("IMPORTRANGE(""https://docs.google.com/spreadsheets/d/11923uPwbBZFjjGgGUA6NLw09EwE0CqkOc4q9oUmW1yo/edit?usp=sharing"",""พิจิตร!M447"")"),0)</f>
        <v>0</v>
      </c>
      <c r="O552" s="168">
        <f t="shared" ca="1" si="120"/>
        <v>0</v>
      </c>
      <c r="P552" s="168"/>
    </row>
    <row r="553" spans="1:16" ht="21.75" customHeight="1" x14ac:dyDescent="0.35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IFERROR(__xludf.DUMMYFUNCTION("IMPORTRANGE(""https://docs.google.com/spreadsheets/d/11923uPwbBZFjjGgGUA6NLw09EwE0CqkOc4q9oUmW1yo/edit?usp=sharing"",""พิจิตร!L448"")"),0)</f>
        <v>0</v>
      </c>
      <c r="M553" s="165"/>
      <c r="N553" s="168">
        <f ca="1">IFERROR(__xludf.DUMMYFUNCTION("IMPORTRANGE(""https://docs.google.com/spreadsheets/d/11923uPwbBZFjjGgGUA6NLw09EwE0CqkOc4q9oUmW1yo/edit?usp=sharing"",""พิจิตร!M448"")"),0)</f>
        <v>0</v>
      </c>
      <c r="O553" s="168">
        <f t="shared" ca="1" si="120"/>
        <v>0</v>
      </c>
      <c r="P553" s="168"/>
    </row>
    <row r="554" spans="1:16" ht="21.75" customHeight="1" x14ac:dyDescent="0.35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IFERROR(__xludf.DUMMYFUNCTION("IMPORTRANGE(""https://docs.google.com/spreadsheets/d/11923uPwbBZFjjGgGUA6NLw09EwE0CqkOc4q9oUmW1yo/edit?usp=sharing"",""พิจิตร!L449"")"),0)</f>
        <v>0</v>
      </c>
      <c r="M554" s="168"/>
      <c r="N554" s="168">
        <f ca="1">IFERROR(__xludf.DUMMYFUNCTION("IMPORTRANGE(""https://docs.google.com/spreadsheets/d/11923uPwbBZFjjGgGUA6NLw09EwE0CqkOc4q9oUmW1yo/edit?usp=sharing"",""พิจิตร!M449"")"),0)</f>
        <v>0</v>
      </c>
      <c r="O554" s="168">
        <f t="shared" ca="1" si="120"/>
        <v>0</v>
      </c>
      <c r="P554" s="168"/>
    </row>
    <row r="555" spans="1:16" ht="21.75" customHeight="1" x14ac:dyDescent="0.35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IFERROR(__xludf.DUMMYFUNCTION("IMPORTRANGE(""https://docs.google.com/spreadsheets/d/11923uPwbBZFjjGgGUA6NLw09EwE0CqkOc4q9oUmW1yo/edit?usp=sharing"",""พิจิตร!L450"")"),0)</f>
        <v>0</v>
      </c>
      <c r="M555" s="168"/>
      <c r="N555" s="168">
        <f ca="1">IFERROR(__xludf.DUMMYFUNCTION("IMPORTRANGE(""https://docs.google.com/spreadsheets/d/11923uPwbBZFjjGgGUA6NLw09EwE0CqkOc4q9oUmW1yo/edit?usp=sharing"",""พิจิตร!M450"")"),0)</f>
        <v>0</v>
      </c>
      <c r="O555" s="168">
        <f t="shared" ca="1" si="120"/>
        <v>0</v>
      </c>
      <c r="P555" s="168"/>
    </row>
    <row r="556" spans="1:16" ht="21.75" customHeight="1" x14ac:dyDescent="0.35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IFERROR(__xludf.DUMMYFUNCTION("IMPORTRANGE(""https://docs.google.com/spreadsheets/d/11923uPwbBZFjjGgGUA6NLw09EwE0CqkOc4q9oUmW1yo/edit?usp=sharing"",""พิจิตร!M451"")"),0)</f>
        <v>0</v>
      </c>
      <c r="O556" s="168"/>
      <c r="P556" s="168"/>
    </row>
    <row r="557" spans="1:16" ht="21.75" customHeight="1" x14ac:dyDescent="0.35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IFERROR(__xludf.DUMMYFUNCTION("IMPORTRANGE(""https://docs.google.com/spreadsheets/d/11923uPwbBZFjjGgGUA6NLw09EwE0CqkOc4q9oUmW1yo/edit?usp=sharing"",""พิจิตร!M452"")"),0)</f>
        <v>0</v>
      </c>
      <c r="O557" s="168"/>
      <c r="P557" s="168"/>
    </row>
    <row r="558" spans="1:16" ht="21.75" customHeight="1" x14ac:dyDescent="0.35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IFERROR(__xludf.DUMMYFUNCTION("IMPORTRANGE(""https://docs.google.com/spreadsheets/d/11923uPwbBZFjjGgGUA6NLw09EwE0CqkOc4q9oUmW1yo/edit?usp=sharing"",""พิจิตร!M453"")"),0)</f>
        <v>0</v>
      </c>
      <c r="O558" s="168"/>
      <c r="P558" s="168"/>
    </row>
    <row r="559" spans="1:16" ht="21.75" customHeight="1" x14ac:dyDescent="0.35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IFERROR(__xludf.DUMMYFUNCTION("IMPORTRANGE(""https://docs.google.com/spreadsheets/d/11923uPwbBZFjjGgGUA6NLw09EwE0CqkOc4q9oUmW1yo/edit?usp=sharing"",""พิจิตร!M454"")"),0)</f>
        <v>0</v>
      </c>
      <c r="O559" s="168"/>
      <c r="P559" s="168"/>
    </row>
    <row r="560" spans="1:16" ht="21.75" customHeight="1" x14ac:dyDescent="0.35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IFERROR(__xludf.DUMMYFUNCTION("IMPORTRANGE(""https://docs.google.com/spreadsheets/d/11923uPwbBZFjjGgGUA6NLw09EwE0CqkOc4q9oUmW1yo/edit?usp=sharing"",""พิจิตร!I455"")"),0)</f>
        <v>0</v>
      </c>
      <c r="J560" s="162">
        <f ca="1">IFERROR(__xludf.DUMMYFUNCTION("IMPORTRANGE(""https://docs.google.com/spreadsheets/d/11923uPwbBZFjjGgGUA6NLw09EwE0CqkOc4q9oUmW1yo/edit?usp=sharing"",""พิจิตร!J455"")"),0)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5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IFERROR(__xludf.DUMMYFUNCTION("IMPORTRANGE(""https://docs.google.com/spreadsheets/d/11923uPwbBZFjjGgGUA6NLw09EwE0CqkOc4q9oUmW1yo/edit?usp=sharing"",""พิจิตร!I456"")"),0)</f>
        <v>0</v>
      </c>
      <c r="J561" s="203">
        <f ca="1">IFERROR(__xludf.DUMMYFUNCTION("IMPORTRANGE(""https://docs.google.com/spreadsheets/d/11923uPwbBZFjjGgGUA6NLw09EwE0CqkOc4q9oUmW1yo/edit?usp=sharing"",""พิจิตร!J456"")"),0)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5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f ca="1">IFERROR(__xludf.DUMMYFUNCTION("IMPORTRANGE(""https://docs.google.com/spreadsheets/d/11923uPwbBZFjjGgGUA6NLw09EwE0CqkOc4q9oUmW1yo/edit?usp=sharing"",""พิจิตร!I457"")"),0)</f>
        <v>0</v>
      </c>
      <c r="J562" s="203" t="str">
        <f ca="1">IFERROR(__xludf.DUMMYFUNCTION("IMPORTRANGE(""https://docs.google.com/spreadsheets/d/11923uPwbBZFjjGgGUA6NLw09EwE0CqkOc4q9oUmW1yo/edit?usp=sharing"",""พิจิตร!J457"")"),"")</f>
        <v/>
      </c>
      <c r="K562" s="163">
        <f t="shared" ca="1" si="121"/>
        <v>0</v>
      </c>
      <c r="L562" s="181"/>
      <c r="M562" s="181"/>
      <c r="N562" s="181"/>
      <c r="O562" s="181"/>
      <c r="P562" s="181"/>
    </row>
    <row r="563" spans="1:16" ht="21.75" customHeight="1" x14ac:dyDescent="0.35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f ca="1">IFERROR(__xludf.DUMMYFUNCTION("IMPORTRANGE(""https://docs.google.com/spreadsheets/d/11923uPwbBZFjjGgGUA6NLw09EwE0CqkOc4q9oUmW1yo/edit?usp=sharing"",""พิจิตร!I458"")"),0)</f>
        <v>0</v>
      </c>
      <c r="J563" s="187" t="str">
        <f ca="1">IFERROR(__xludf.DUMMYFUNCTION("IMPORTRANGE(""https://docs.google.com/spreadsheets/d/11923uPwbBZFjjGgGUA6NLw09EwE0CqkOc4q9oUmW1yo/edit?usp=sharing"",""พิจิตร!J458"")"),"")</f>
        <v/>
      </c>
      <c r="K563" s="163">
        <f t="shared" ca="1" si="121"/>
        <v>0</v>
      </c>
      <c r="L563" s="181"/>
      <c r="M563" s="181"/>
      <c r="N563" s="181"/>
      <c r="O563" s="181"/>
      <c r="P563" s="181"/>
    </row>
    <row r="564" spans="1:16" ht="21.75" customHeight="1" x14ac:dyDescent="0.35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IFERROR(__xludf.DUMMYFUNCTION("IMPORTRANGE(""https://docs.google.com/spreadsheets/d/11923uPwbBZFjjGgGUA6NLw09EwE0CqkOc4q9oUmW1yo/edit?usp=sharing"",""พิจิตร!I459"")"),1100)</f>
        <v>1100</v>
      </c>
      <c r="J564" s="369">
        <f ca="1">IFERROR(__xludf.DUMMYFUNCTION("IMPORTRANGE(""https://docs.google.com/spreadsheets/d/11923uPwbBZFjjGgGUA6NLw09EwE0CqkOc4q9oUmW1yo/edit?usp=sharing"",""พิจิตร!J459"")"),671)</f>
        <v>671</v>
      </c>
      <c r="K564" s="370">
        <f t="shared" ca="1" si="121"/>
        <v>61</v>
      </c>
      <c r="L564" s="371">
        <f ca="1">IFERROR(__xludf.DUMMYFUNCTION("IMPORTRANGE(""https://docs.google.com/spreadsheets/d/11923uPwbBZFjjGgGUA6NLw09EwE0CqkOc4q9oUmW1yo/edit?usp=sharing"",""พิจิตร!L459"")"),126080)</f>
        <v>126080</v>
      </c>
      <c r="M564" s="371"/>
      <c r="N564" s="371">
        <f ca="1">IFERROR(__xludf.DUMMYFUNCTION("IMPORTRANGE(""https://docs.google.com/spreadsheets/d/11923uPwbBZFjjGgGUA6NLw09EwE0CqkOc4q9oUmW1yo/edit?usp=sharing"",""พิจิตร!M459"")"),28706.19)</f>
        <v>28706.19</v>
      </c>
      <c r="O564" s="371">
        <f t="shared" ref="O564:O568" ca="1" si="122">+IF(L564&gt;0,N564*100/L564,0)</f>
        <v>22.768234454314722</v>
      </c>
      <c r="P564" s="371"/>
    </row>
    <row r="565" spans="1:16" ht="21.75" customHeight="1" x14ac:dyDescent="0.35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IFERROR(__xludf.DUMMYFUNCTION("IMPORTRANGE(""https://docs.google.com/spreadsheets/d/11923uPwbBZFjjGgGUA6NLw09EwE0CqkOc4q9oUmW1yo/edit?usp=sharing"",""พิจิตร!L460"")"),0)</f>
        <v>0</v>
      </c>
      <c r="M565" s="164"/>
      <c r="N565" s="168">
        <f ca="1">IFERROR(__xludf.DUMMYFUNCTION("IMPORTRANGE(""https://docs.google.com/spreadsheets/d/11923uPwbBZFjjGgGUA6NLw09EwE0CqkOc4q9oUmW1yo/edit?usp=sharing"",""พิจิตร!M460"")"),0)</f>
        <v>0</v>
      </c>
      <c r="O565" s="168">
        <f t="shared" ca="1" si="122"/>
        <v>0</v>
      </c>
      <c r="P565" s="168"/>
    </row>
    <row r="566" spans="1:16" ht="21.75" customHeight="1" x14ac:dyDescent="0.35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IFERROR(__xludf.DUMMYFUNCTION("IMPORTRANGE(""https://docs.google.com/spreadsheets/d/11923uPwbBZFjjGgGUA6NLw09EwE0CqkOc4q9oUmW1yo/edit?usp=sharing"",""พิจิตร!L461"")"),126080)</f>
        <v>126080</v>
      </c>
      <c r="M566" s="165"/>
      <c r="N566" s="168">
        <f ca="1">IFERROR(__xludf.DUMMYFUNCTION("IMPORTRANGE(""https://docs.google.com/spreadsheets/d/11923uPwbBZFjjGgGUA6NLw09EwE0CqkOc4q9oUmW1yo/edit?usp=sharing"",""พิจิตร!M461"")"),28706.19)</f>
        <v>28706.19</v>
      </c>
      <c r="O566" s="168">
        <f t="shared" ca="1" si="122"/>
        <v>22.768234454314722</v>
      </c>
      <c r="P566" s="168"/>
    </row>
    <row r="567" spans="1:16" ht="21.75" customHeight="1" x14ac:dyDescent="0.35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IFERROR(__xludf.DUMMYFUNCTION("IMPORTRANGE(""https://docs.google.com/spreadsheets/d/11923uPwbBZFjjGgGUA6NLw09EwE0CqkOc4q9oUmW1yo/edit?usp=sharing"",""พิจิตร!L462"")"),0)</f>
        <v>0</v>
      </c>
      <c r="M567" s="168"/>
      <c r="N567" s="168">
        <f ca="1">IFERROR(__xludf.DUMMYFUNCTION("IMPORTRANGE(""https://docs.google.com/spreadsheets/d/11923uPwbBZFjjGgGUA6NLw09EwE0CqkOc4q9oUmW1yo/edit?usp=sharing"",""พิจิตร!M462"")"),0)</f>
        <v>0</v>
      </c>
      <c r="O567" s="168">
        <f t="shared" ca="1" si="122"/>
        <v>0</v>
      </c>
      <c r="P567" s="168"/>
    </row>
    <row r="568" spans="1:16" ht="21.75" customHeight="1" x14ac:dyDescent="0.35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IFERROR(__xludf.DUMMYFUNCTION("IMPORTRANGE(""https://docs.google.com/spreadsheets/d/11923uPwbBZFjjGgGUA6NLw09EwE0CqkOc4q9oUmW1yo/edit?usp=sharing"",""พิจิตร!L463"")"),126080)</f>
        <v>126080</v>
      </c>
      <c r="M568" s="168"/>
      <c r="N568" s="168">
        <f ca="1">IFERROR(__xludf.DUMMYFUNCTION("IMPORTRANGE(""https://docs.google.com/spreadsheets/d/11923uPwbBZFjjGgGUA6NLw09EwE0CqkOc4q9oUmW1yo/edit?usp=sharing"",""พิจิตร!M463"")"),28706.19)</f>
        <v>28706.19</v>
      </c>
      <c r="O568" s="168">
        <f t="shared" ca="1" si="122"/>
        <v>22.768234454314722</v>
      </c>
      <c r="P568" s="168"/>
    </row>
    <row r="569" spans="1:16" ht="21.75" customHeight="1" x14ac:dyDescent="0.35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IFERROR(__xludf.DUMMYFUNCTION("IMPORTRANGE(""https://docs.google.com/spreadsheets/d/11923uPwbBZFjjGgGUA6NLw09EwE0CqkOc4q9oUmW1yo/edit?usp=sharing"",""พิจิตร!M464"")"),0)</f>
        <v>0</v>
      </c>
      <c r="O569" s="168"/>
      <c r="P569" s="168"/>
    </row>
    <row r="570" spans="1:16" ht="21.75" customHeight="1" x14ac:dyDescent="0.35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IFERROR(__xludf.DUMMYFUNCTION("IMPORTRANGE(""https://docs.google.com/spreadsheets/d/11923uPwbBZFjjGgGUA6NLw09EwE0CqkOc4q9oUmW1yo/edit?usp=sharing"",""พิจิตร!M465"")"),0)</f>
        <v>0</v>
      </c>
      <c r="O570" s="168"/>
      <c r="P570" s="168"/>
    </row>
    <row r="571" spans="1:16" ht="21.75" customHeight="1" x14ac:dyDescent="0.35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IFERROR(__xludf.DUMMYFUNCTION("IMPORTRANGE(""https://docs.google.com/spreadsheets/d/11923uPwbBZFjjGgGUA6NLw09EwE0CqkOc4q9oUmW1yo/edit?usp=sharing"",""พิจิตร!M466"")"),24330.19)</f>
        <v>24330.19</v>
      </c>
      <c r="O571" s="168"/>
      <c r="P571" s="168"/>
    </row>
    <row r="572" spans="1:16" ht="21.75" customHeight="1" x14ac:dyDescent="0.35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IFERROR(__xludf.DUMMYFUNCTION("IMPORTRANGE(""https://docs.google.com/spreadsheets/d/11923uPwbBZFjjGgGUA6NLw09EwE0CqkOc4q9oUmW1yo/edit?usp=sharing"",""พิจิตร!M467"")"),4376)</f>
        <v>4376</v>
      </c>
      <c r="O572" s="168"/>
      <c r="P572" s="168"/>
    </row>
    <row r="573" spans="1:16" ht="21.75" customHeight="1" x14ac:dyDescent="0.35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IFERROR(__xludf.DUMMYFUNCTION("IMPORTRANGE(""https://docs.google.com/spreadsheets/d/11923uPwbBZFjjGgGUA6NLw09EwE0CqkOc4q9oUmW1yo/edit?usp=sharing"",""พิจิตร!I468"")"),1100)</f>
        <v>1100</v>
      </c>
      <c r="J573" s="418">
        <f ca="1">IFERROR(__xludf.DUMMYFUNCTION("IMPORTRANGE(""https://docs.google.com/spreadsheets/d/11923uPwbBZFjjGgGUA6NLw09EwE0CqkOc4q9oUmW1yo/edit?usp=sharing"",""พิจิตร!J468"")"),671)</f>
        <v>671</v>
      </c>
      <c r="K573" s="201">
        <f ca="1">IF(I573&gt;0,J573*100/I573,0)</f>
        <v>61</v>
      </c>
      <c r="L573" s="181"/>
      <c r="M573" s="181"/>
      <c r="N573" s="181"/>
      <c r="O573" s="181"/>
      <c r="P573" s="181"/>
    </row>
    <row r="574" spans="1:16" ht="21.75" customHeight="1" x14ac:dyDescent="0.35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5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IFERROR(__xludf.DUMMYFUNCTION("IMPORTRANGE(""https://docs.google.com/spreadsheets/d/11923uPwbBZFjjGgGUA6NLw09EwE0CqkOc4q9oUmW1yo/edit?usp=sharing"",""พิจิตร!I470"")"),0)</f>
        <v>0</v>
      </c>
      <c r="J575" s="197">
        <f ca="1">IFERROR(__xludf.DUMMYFUNCTION("IMPORTRANGE(""https://docs.google.com/spreadsheets/d/11923uPwbBZFjjGgGUA6NLw09EwE0CqkOc4q9oUmW1yo/edit?usp=sharing"",""พิจิตร!J470"")"),4)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5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IFERROR(__xludf.DUMMYFUNCTION("IMPORTRANGE(""https://docs.google.com/spreadsheets/d/11923uPwbBZFjjGgGUA6NLw09EwE0CqkOc4q9oUmW1yo/edit?usp=sharing"",""พิจิตร!I471"")"),0)</f>
        <v>0</v>
      </c>
      <c r="J576" s="197">
        <f ca="1">IFERROR(__xludf.DUMMYFUNCTION("IMPORTRANGE(""https://docs.google.com/spreadsheets/d/11923uPwbBZFjjGgGUA6NLw09EwE0CqkOc4q9oUmW1yo/edit?usp=sharing"",""พิจิตร!J471"")"),95)</f>
        <v>95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5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IFERROR(__xludf.DUMMYFUNCTION("IMPORTRANGE(""https://docs.google.com/spreadsheets/d/11923uPwbBZFjjGgGUA6NLw09EwE0CqkOc4q9oUmW1yo/edit?usp=sharing"",""พิจิตร!I472"")"),0)</f>
        <v>0</v>
      </c>
      <c r="J577" s="188">
        <f ca="1">IFERROR(__xludf.DUMMYFUNCTION("IMPORTRANGE(""https://docs.google.com/spreadsheets/d/11923uPwbBZFjjGgGUA6NLw09EwE0CqkOc4q9oUmW1yo/edit?usp=sharing"",""พิจิตร!J472"")"),576)</f>
        <v>576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5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IFERROR(__xludf.DUMMYFUNCTION("IMPORTRANGE(""https://docs.google.com/spreadsheets/d/11923uPwbBZFjjGgGUA6NLw09EwE0CqkOc4q9oUmW1yo/edit?usp=sharing"",""พิจิตร!I473"")"),0)</f>
        <v>0</v>
      </c>
      <c r="J578" s="197">
        <f ca="1">IFERROR(__xludf.DUMMYFUNCTION("IMPORTRANGE(""https://docs.google.com/spreadsheets/d/11923uPwbBZFjjGgGUA6NLw09EwE0CqkOc4q9oUmW1yo/edit?usp=sharing"",""พิจิตร!J473"")"),0)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5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IFERROR(__xludf.DUMMYFUNCTION("IMPORTRANGE(""https://docs.google.com/spreadsheets/d/11923uPwbBZFjjGgGUA6NLw09EwE0CqkOc4q9oUmW1yo/edit?usp=sharing"",""พิจิตร!I474"")"),0)</f>
        <v>0</v>
      </c>
      <c r="J579" s="197">
        <f ca="1">IFERROR(__xludf.DUMMYFUNCTION("IMPORTRANGE(""https://docs.google.com/spreadsheets/d/11923uPwbBZFjjGgGUA6NLw09EwE0CqkOc4q9oUmW1yo/edit?usp=sharing"",""พิจิตร!J474"")"),0)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5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IFERROR(__xludf.DUMMYFUNCTION("IMPORTRANGE(""https://docs.google.com/spreadsheets/d/11923uPwbBZFjjGgGUA6NLw09EwE0CqkOc4q9oUmW1yo/edit?usp=sharing"",""พิจิตร!I475"")"),200)</f>
        <v>200</v>
      </c>
      <c r="J580" s="369">
        <f ca="1">IFERROR(__xludf.DUMMYFUNCTION("IMPORTRANGE(""https://docs.google.com/spreadsheets/d/11923uPwbBZFjjGgGUA6NLw09EwE0CqkOc4q9oUmW1yo/edit?usp=sharing"",""พิจิตร!J475"")"),19)</f>
        <v>19</v>
      </c>
      <c r="K580" s="370">
        <f ca="1">IF(I580&gt;0,J580*100/I580,0)</f>
        <v>9.5</v>
      </c>
      <c r="L580" s="371">
        <f ca="1">IFERROR(__xludf.DUMMYFUNCTION("IMPORTRANGE(""https://docs.google.com/spreadsheets/d/11923uPwbBZFjjGgGUA6NLw09EwE0CqkOc4q9oUmW1yo/edit?usp=sharing"",""พิจิตร!L475"")"),352400)</f>
        <v>352400</v>
      </c>
      <c r="M580" s="371"/>
      <c r="N580" s="371">
        <f ca="1">IFERROR(__xludf.DUMMYFUNCTION("IMPORTRANGE(""https://docs.google.com/spreadsheets/d/11923uPwbBZFjjGgGUA6NLw09EwE0CqkOc4q9oUmW1yo/edit?usp=sharing"",""พิจิตร!M475"")"),31411.64)</f>
        <v>31411.64</v>
      </c>
      <c r="O580" s="371">
        <f t="shared" ref="O580:O584" ca="1" si="124">+IF(L580&gt;0,N580*100/L580,0)</f>
        <v>8.9136322360953457</v>
      </c>
      <c r="P580" s="371"/>
    </row>
    <row r="581" spans="1:16" ht="21.75" customHeight="1" x14ac:dyDescent="0.35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IFERROR(__xludf.DUMMYFUNCTION("IMPORTRANGE(""https://docs.google.com/spreadsheets/d/11923uPwbBZFjjGgGUA6NLw09EwE0CqkOc4q9oUmW1yo/edit?usp=sharing"",""พิจิตร!L476"")"),0)</f>
        <v>0</v>
      </c>
      <c r="M581" s="164"/>
      <c r="N581" s="168">
        <f ca="1">IFERROR(__xludf.DUMMYFUNCTION("IMPORTRANGE(""https://docs.google.com/spreadsheets/d/11923uPwbBZFjjGgGUA6NLw09EwE0CqkOc4q9oUmW1yo/edit?usp=sharing"",""พิจิตร!M476"")"),0)</f>
        <v>0</v>
      </c>
      <c r="O581" s="168">
        <f t="shared" ca="1" si="124"/>
        <v>0</v>
      </c>
      <c r="P581" s="168"/>
    </row>
    <row r="582" spans="1:16" ht="21.75" customHeight="1" x14ac:dyDescent="0.35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IFERROR(__xludf.DUMMYFUNCTION("IMPORTRANGE(""https://docs.google.com/spreadsheets/d/11923uPwbBZFjjGgGUA6NLw09EwE0CqkOc4q9oUmW1yo/edit?usp=sharing"",""พิจิตร!L477"")"),352400)</f>
        <v>352400</v>
      </c>
      <c r="M582" s="165"/>
      <c r="N582" s="168">
        <f ca="1">IFERROR(__xludf.DUMMYFUNCTION("IMPORTRANGE(""https://docs.google.com/spreadsheets/d/11923uPwbBZFjjGgGUA6NLw09EwE0CqkOc4q9oUmW1yo/edit?usp=sharing"",""พิจิตร!M477"")"),31411.64)</f>
        <v>31411.64</v>
      </c>
      <c r="O582" s="168">
        <f t="shared" ca="1" si="124"/>
        <v>8.9136322360953457</v>
      </c>
      <c r="P582" s="168"/>
    </row>
    <row r="583" spans="1:16" ht="21.75" customHeight="1" x14ac:dyDescent="0.35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IFERROR(__xludf.DUMMYFUNCTION("IMPORTRANGE(""https://docs.google.com/spreadsheets/d/11923uPwbBZFjjGgGUA6NLw09EwE0CqkOc4q9oUmW1yo/edit?usp=sharing"",""พิจิตร!L478"")"),0)</f>
        <v>0</v>
      </c>
      <c r="M583" s="168"/>
      <c r="N583" s="168">
        <f ca="1">IFERROR(__xludf.DUMMYFUNCTION("IMPORTRANGE(""https://docs.google.com/spreadsheets/d/11923uPwbBZFjjGgGUA6NLw09EwE0CqkOc4q9oUmW1yo/edit?usp=sharing"",""พิจิตร!M478"")"),0)</f>
        <v>0</v>
      </c>
      <c r="O583" s="168">
        <f t="shared" ca="1" si="124"/>
        <v>0</v>
      </c>
      <c r="P583" s="168"/>
    </row>
    <row r="584" spans="1:16" ht="21.75" customHeight="1" x14ac:dyDescent="0.35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IFERROR(__xludf.DUMMYFUNCTION("IMPORTRANGE(""https://docs.google.com/spreadsheets/d/11923uPwbBZFjjGgGUA6NLw09EwE0CqkOc4q9oUmW1yo/edit?usp=sharing"",""พิจิตร!L479"")"),352400)</f>
        <v>352400</v>
      </c>
      <c r="M584" s="168"/>
      <c r="N584" s="168">
        <f ca="1">IFERROR(__xludf.DUMMYFUNCTION("IMPORTRANGE(""https://docs.google.com/spreadsheets/d/11923uPwbBZFjjGgGUA6NLw09EwE0CqkOc4q9oUmW1yo/edit?usp=sharing"",""พิจิตร!M479"")"),31411.64)</f>
        <v>31411.64</v>
      </c>
      <c r="O584" s="168">
        <f t="shared" ca="1" si="124"/>
        <v>8.9136322360953457</v>
      </c>
      <c r="P584" s="168"/>
    </row>
    <row r="585" spans="1:16" ht="21.75" customHeight="1" x14ac:dyDescent="0.35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IFERROR(__xludf.DUMMYFUNCTION("IMPORTRANGE(""https://docs.google.com/spreadsheets/d/11923uPwbBZFjjGgGUA6NLw09EwE0CqkOc4q9oUmW1yo/edit?usp=sharing"",""พิจิตร!M480"")"),0)</f>
        <v>0</v>
      </c>
      <c r="O585" s="168"/>
      <c r="P585" s="168"/>
    </row>
    <row r="586" spans="1:16" ht="21.75" customHeight="1" x14ac:dyDescent="0.35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IFERROR(__xludf.DUMMYFUNCTION("IMPORTRANGE(""https://docs.google.com/spreadsheets/d/11923uPwbBZFjjGgGUA6NLw09EwE0CqkOc4q9oUmW1yo/edit?usp=sharing"",""พิจิตร!M481"")"),0)</f>
        <v>0</v>
      </c>
      <c r="O586" s="168"/>
      <c r="P586" s="168"/>
    </row>
    <row r="587" spans="1:16" ht="21.75" customHeight="1" x14ac:dyDescent="0.35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IFERROR(__xludf.DUMMYFUNCTION("IMPORTRANGE(""https://docs.google.com/spreadsheets/d/11923uPwbBZFjjGgGUA6NLw09EwE0CqkOc4q9oUmW1yo/edit?usp=sharing"",""พิจิตร!M482"")"),1960)</f>
        <v>1960</v>
      </c>
      <c r="O587" s="168"/>
      <c r="P587" s="168"/>
    </row>
    <row r="588" spans="1:16" ht="21.75" customHeight="1" x14ac:dyDescent="0.35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IFERROR(__xludf.DUMMYFUNCTION("IMPORTRANGE(""https://docs.google.com/spreadsheets/d/11923uPwbBZFjjGgGUA6NLw09EwE0CqkOc4q9oUmW1yo/edit?usp=sharing"",""พิจิตร!M483"")"),29451.64)</f>
        <v>29451.64</v>
      </c>
      <c r="O588" s="168"/>
      <c r="P588" s="168"/>
    </row>
    <row r="589" spans="1:16" ht="21.75" customHeight="1" x14ac:dyDescent="0.35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IFERROR(__xludf.DUMMYFUNCTION("IMPORTRANGE(""https://docs.google.com/spreadsheets/d/11923uPwbBZFjjGgGUA6NLw09EwE0CqkOc4q9oUmW1yo/edit?usp=sharing"",""พิจิตร!I484"")"),200)</f>
        <v>200</v>
      </c>
      <c r="J589" s="187">
        <f ca="1">IFERROR(__xludf.DUMMYFUNCTION("IMPORTRANGE(""https://docs.google.com/spreadsheets/d/11923uPwbBZFjjGgGUA6NLw09EwE0CqkOc4q9oUmW1yo/edit?usp=sharing"",""พิจิตร!J484"")"),159)</f>
        <v>159</v>
      </c>
      <c r="K589" s="163">
        <f t="shared" ref="K589:K596" ca="1" si="125">IF(I589&gt;0,J589*100/I589,0)</f>
        <v>79.5</v>
      </c>
      <c r="L589" s="181"/>
      <c r="M589" s="181"/>
      <c r="N589" s="168"/>
      <c r="O589" s="181"/>
      <c r="P589" s="181"/>
    </row>
    <row r="590" spans="1:16" ht="21.75" customHeight="1" x14ac:dyDescent="0.35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IFERROR(__xludf.DUMMYFUNCTION("IMPORTRANGE(""https://docs.google.com/spreadsheets/d/11923uPwbBZFjjGgGUA6NLw09EwE0CqkOc4q9oUmW1yo/edit?usp=sharing"",""พิจิตร!I485"")"),0)</f>
        <v>0</v>
      </c>
      <c r="J590" s="187">
        <f ca="1">IFERROR(__xludf.DUMMYFUNCTION("IMPORTRANGE(""https://docs.google.com/spreadsheets/d/11923uPwbBZFjjGgGUA6NLw09EwE0CqkOc4q9oUmW1yo/edit?usp=sharing"",""พิจิตร!J485"")"),97.42)</f>
        <v>97.42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5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IFERROR(__xludf.DUMMYFUNCTION("IMPORTRANGE(""https://docs.google.com/spreadsheets/d/11923uPwbBZFjjGgGUA6NLw09EwE0CqkOc4q9oUmW1yo/edit?usp=sharing"",""พิจิตร!I486"")"),200)</f>
        <v>200</v>
      </c>
      <c r="J591" s="187">
        <f ca="1">IFERROR(__xludf.DUMMYFUNCTION("IMPORTRANGE(""https://docs.google.com/spreadsheets/d/11923uPwbBZFjjGgGUA6NLw09EwE0CqkOc4q9oUmW1yo/edit?usp=sharing"",""พิจิตร!J486"")"),6)</f>
        <v>6</v>
      </c>
      <c r="K591" s="163">
        <f t="shared" ca="1" si="125"/>
        <v>3</v>
      </c>
      <c r="L591" s="181"/>
      <c r="M591" s="181"/>
      <c r="N591" s="181"/>
      <c r="O591" s="181"/>
      <c r="P591" s="181"/>
    </row>
    <row r="592" spans="1:16" ht="21.75" customHeight="1" x14ac:dyDescent="0.35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IFERROR(__xludf.DUMMYFUNCTION("IMPORTRANGE(""https://docs.google.com/spreadsheets/d/11923uPwbBZFjjGgGUA6NLw09EwE0CqkOc4q9oUmW1yo/edit?usp=sharing"",""พิจิตร!I487"")"),0)</f>
        <v>0</v>
      </c>
      <c r="J592" s="187">
        <f ca="1">IFERROR(__xludf.DUMMYFUNCTION("IMPORTRANGE(""https://docs.google.com/spreadsheets/d/11923uPwbBZFjjGgGUA6NLw09EwE0CqkOc4q9oUmW1yo/edit?usp=sharing"",""พิจิตร!J487"")"),8.53)</f>
        <v>8.5299999999999994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5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IFERROR(__xludf.DUMMYFUNCTION("IMPORTRANGE(""https://docs.google.com/spreadsheets/d/11923uPwbBZFjjGgGUA6NLw09EwE0CqkOc4q9oUmW1yo/edit?usp=sharing"",""พิจิตร!I488"")"),200)</f>
        <v>200</v>
      </c>
      <c r="J593" s="187">
        <f ca="1">IFERROR(__xludf.DUMMYFUNCTION("IMPORTRANGE(""https://docs.google.com/spreadsheets/d/11923uPwbBZFjjGgGUA6NLw09EwE0CqkOc4q9oUmW1yo/edit?usp=sharing"",""พิจิตร!J488"")"),0)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5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IFERROR(__xludf.DUMMYFUNCTION("IMPORTRANGE(""https://docs.google.com/spreadsheets/d/11923uPwbBZFjjGgGUA6NLw09EwE0CqkOc4q9oUmW1yo/edit?usp=sharing"",""พิจิตร!I489"")"),0)</f>
        <v>0</v>
      </c>
      <c r="J594" s="187">
        <f ca="1">IFERROR(__xludf.DUMMYFUNCTION("IMPORTRANGE(""https://docs.google.com/spreadsheets/d/11923uPwbBZFjjGgGUA6NLw09EwE0CqkOc4q9oUmW1yo/edit?usp=sharing"",""พิจิตร!J489"")"),0)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5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IFERROR(__xludf.DUMMYFUNCTION("IMPORTRANGE(""https://docs.google.com/spreadsheets/d/11923uPwbBZFjjGgGUA6NLw09EwE0CqkOc4q9oUmW1yo/edit?usp=sharing"",""พิจิตร!I490"")"),200)</f>
        <v>200</v>
      </c>
      <c r="J595" s="187">
        <f ca="1">IFERROR(__xludf.DUMMYFUNCTION("IMPORTRANGE(""https://docs.google.com/spreadsheets/d/11923uPwbBZFjjGgGUA6NLw09EwE0CqkOc4q9oUmW1yo/edit?usp=sharing"",""พิจิตร!J490"")"),19)</f>
        <v>19</v>
      </c>
      <c r="K595" s="163">
        <f t="shared" ca="1" si="125"/>
        <v>9.5</v>
      </c>
      <c r="L595" s="181"/>
      <c r="M595" s="181"/>
      <c r="N595" s="181"/>
      <c r="O595" s="181"/>
      <c r="P595" s="181"/>
    </row>
    <row r="596" spans="1:16" ht="21.75" customHeight="1" x14ac:dyDescent="0.35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IFERROR(__xludf.DUMMYFUNCTION("IMPORTRANGE(""https://docs.google.com/spreadsheets/d/11923uPwbBZFjjGgGUA6NLw09EwE0CqkOc4q9oUmW1yo/edit?usp=sharing"",""พิจิตร!I491"")"),0)</f>
        <v>0</v>
      </c>
      <c r="J596" s="240">
        <f ca="1">IFERROR(__xludf.DUMMYFUNCTION("IMPORTRANGE(""https://docs.google.com/spreadsheets/d/11923uPwbBZFjjGgGUA6NLw09EwE0CqkOc4q9oUmW1yo/edit?usp=sharing"",""พิจิตร!J491"")"),14.76)</f>
        <v>14.76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5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IFERROR(__xludf.DUMMYFUNCTION("IMPORTRANGE(""https://docs.google.com/spreadsheets/d/11923uPwbBZFjjGgGUA6NLw09EwE0CqkOc4q9oUmW1yo/edit?usp=sharing"",""พิจิตร!I492"")"),50)</f>
        <v>50</v>
      </c>
      <c r="J597" s="485">
        <f ca="1">IFERROR(__xludf.DUMMYFUNCTION("IMPORTRANGE(""https://docs.google.com/spreadsheets/d/11923uPwbBZFjjGgGUA6NLw09EwE0CqkOc4q9oUmW1yo/edit?usp=sharing"",""พิจิตร!J492"")"),0)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IFERROR(__xludf.DUMMYFUNCTION("IMPORTRANGE(""https://docs.google.com/spreadsheets/d/11923uPwbBZFjjGgGUA6NLw09EwE0CqkOc4q9oUmW1yo/edit?usp=sharing"",""พิจิตร!L492"")"),4550)</f>
        <v>4550</v>
      </c>
      <c r="M597" s="410"/>
      <c r="N597" s="410">
        <f ca="1">IFERROR(__xludf.DUMMYFUNCTION("IMPORTRANGE(""https://docs.google.com/spreadsheets/d/11923uPwbBZFjjGgGUA6NLw09EwE0CqkOc4q9oUmW1yo/edit?usp=sharing"",""พิจิตร!M492"")"),1794)</f>
        <v>1794</v>
      </c>
      <c r="O597" s="410">
        <f t="shared" ref="O597:O601" ca="1" si="126">+IF(L597&gt;0,N597*100/L597,0)</f>
        <v>39.428571428571431</v>
      </c>
      <c r="P597" s="410"/>
    </row>
    <row r="598" spans="1:16" ht="21.75" customHeight="1" x14ac:dyDescent="0.35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IFERROR(__xludf.DUMMYFUNCTION("IMPORTRANGE(""https://docs.google.com/spreadsheets/d/11923uPwbBZFjjGgGUA6NLw09EwE0CqkOc4q9oUmW1yo/edit?usp=sharing"",""พิจิตร!L493"")"),0)</f>
        <v>0</v>
      </c>
      <c r="M598" s="164"/>
      <c r="N598" s="168">
        <f ca="1">IFERROR(__xludf.DUMMYFUNCTION("IMPORTRANGE(""https://docs.google.com/spreadsheets/d/11923uPwbBZFjjGgGUA6NLw09EwE0CqkOc4q9oUmW1yo/edit?usp=sharing"",""พิจิตร!M493"")"),0)</f>
        <v>0</v>
      </c>
      <c r="O598" s="168">
        <f t="shared" ca="1" si="126"/>
        <v>0</v>
      </c>
      <c r="P598" s="168"/>
    </row>
    <row r="599" spans="1:16" ht="21.75" customHeight="1" x14ac:dyDescent="0.35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IFERROR(__xludf.DUMMYFUNCTION("IMPORTRANGE(""https://docs.google.com/spreadsheets/d/11923uPwbBZFjjGgGUA6NLw09EwE0CqkOc4q9oUmW1yo/edit?usp=sharing"",""พิจิตร!L494"")"),4550)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IFERROR(__xludf.DUMMYFUNCTION("IMPORTRANGE(""https://docs.google.com/spreadsheets/d/11923uPwbBZFjjGgGUA6NLw09EwE0CqkOc4q9oUmW1yo/edit?usp=sharing"",""พิจิตร!M494"")"),1794)</f>
        <v>1794</v>
      </c>
      <c r="O599" s="168">
        <f t="shared" ca="1" si="126"/>
        <v>39.428571428571431</v>
      </c>
      <c r="P599" s="168"/>
    </row>
    <row r="600" spans="1:16" ht="21.75" customHeight="1" x14ac:dyDescent="0.35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IFERROR(__xludf.DUMMYFUNCTION("IMPORTRANGE(""https://docs.google.com/spreadsheets/d/11923uPwbBZFjjGgGUA6NLw09EwE0CqkOc4q9oUmW1yo/edit?usp=sharing"",""พิจิตร!L495"")"),0)</f>
        <v>0</v>
      </c>
      <c r="M600" s="168"/>
      <c r="N600" s="168">
        <f ca="1">IFERROR(__xludf.DUMMYFUNCTION("IMPORTRANGE(""https://docs.google.com/spreadsheets/d/11923uPwbBZFjjGgGUA6NLw09EwE0CqkOc4q9oUmW1yo/edit?usp=sharing"",""พิจิตร!M495"")"),0)</f>
        <v>0</v>
      </c>
      <c r="O600" s="168">
        <f t="shared" ca="1" si="126"/>
        <v>0</v>
      </c>
      <c r="P600" s="168"/>
    </row>
    <row r="601" spans="1:16" ht="21.75" customHeight="1" x14ac:dyDescent="0.35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IFERROR(__xludf.DUMMYFUNCTION("IMPORTRANGE(""https://docs.google.com/spreadsheets/d/11923uPwbBZFjjGgGUA6NLw09EwE0CqkOc4q9oUmW1yo/edit?usp=sharing"",""พิจิตร!L496"")"),4550)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IFERROR(__xludf.DUMMYFUNCTION("IMPORTRANGE(""https://docs.google.com/spreadsheets/d/11923uPwbBZFjjGgGUA6NLw09EwE0CqkOc4q9oUmW1yo/edit?usp=sharing"",""พิจิตร!M496"")"),1794)</f>
        <v>1794</v>
      </c>
      <c r="O601" s="168">
        <f t="shared" ca="1" si="126"/>
        <v>39.428571428571431</v>
      </c>
      <c r="P601" s="168"/>
    </row>
    <row r="602" spans="1:16" ht="21.75" customHeight="1" x14ac:dyDescent="0.35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IFERROR(__xludf.DUMMYFUNCTION("IMPORTRANGE(""https://docs.google.com/spreadsheets/d/11923uPwbBZFjjGgGUA6NLw09EwE0CqkOc4q9oUmW1yo/edit?usp=sharing"",""พิจิตร!M497"")"),0)</f>
        <v>0</v>
      </c>
      <c r="O602" s="168"/>
      <c r="P602" s="168"/>
    </row>
    <row r="603" spans="1:16" ht="21.75" customHeight="1" x14ac:dyDescent="0.35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IFERROR(__xludf.DUMMYFUNCTION("IMPORTRANGE(""https://docs.google.com/spreadsheets/d/11923uPwbBZFjjGgGUA6NLw09EwE0CqkOc4q9oUmW1yo/edit?usp=sharing"",""พิจิตร!M498"")"),0)</f>
        <v>0</v>
      </c>
      <c r="O603" s="168"/>
      <c r="P603" s="168"/>
    </row>
    <row r="604" spans="1:16" ht="21.75" customHeight="1" x14ac:dyDescent="0.35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IFERROR(__xludf.DUMMYFUNCTION("IMPORTRANGE(""https://docs.google.com/spreadsheets/d/11923uPwbBZFjjGgGUA6NLw09EwE0CqkOc4q9oUmW1yo/edit?usp=sharing"",""พิจิตร!M499"")"),0)</f>
        <v>0</v>
      </c>
      <c r="O604" s="168"/>
      <c r="P604" s="168"/>
    </row>
    <row r="605" spans="1:16" ht="21.75" customHeight="1" x14ac:dyDescent="0.35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IFERROR(__xludf.DUMMYFUNCTION("IMPORTRANGE(""https://docs.google.com/spreadsheets/d/11923uPwbBZFjjGgGUA6NLw09EwE0CqkOc4q9oUmW1yo/edit?usp=sharing"",""พิจิตร!M500"")"),1794)</f>
        <v>1794</v>
      </c>
      <c r="O605" s="168"/>
      <c r="P605" s="168"/>
    </row>
    <row r="606" spans="1:16" ht="21.75" customHeight="1" x14ac:dyDescent="0.35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5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IFERROR(__xludf.DUMMYFUNCTION("IMPORTRANGE(""https://docs.google.com/spreadsheets/d/11923uPwbBZFjjGgGUA6NLw09EwE0CqkOc4q9oUmW1yo/edit?usp=sharing"",""พิจิตร!J502"")"),0)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5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IFERROR(__xludf.DUMMYFUNCTION("IMPORTRANGE(""https://docs.google.com/spreadsheets/d/11923uPwbBZFjjGgGUA6NLw09EwE0CqkOc4q9oUmW1yo/edit?usp=sharing"",""พิจิตร!J503"")"),1)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5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IFERROR(__xludf.DUMMYFUNCTION("IMPORTRANGE(""https://docs.google.com/spreadsheets/d/11923uPwbBZFjjGgGUA6NLw09EwE0CqkOc4q9oUmW1yo/edit?usp=sharing"",""พิจิตร!J166"")"),0)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5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IFERROR(__xludf.DUMMYFUNCTION("IMPORTRANGE(""https://docs.google.com/spreadsheets/d/11923uPwbBZFjjGgGUA6NLw09EwE0CqkOc4q9oUmW1yo/edit?usp=sharing"",""พิจิตร!J166"")"),0)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IFERROR(__xludf.DUMMYFUNCTION("IMPORTRANGE(""https://docs.google.com/spreadsheets/d/11923uPwbBZFjjGgGUA6NLw09EwE0CqkOc4q9oUmW1yo/edit?usp=sharing"",""พิจิตร!I506"")"),50)</f>
        <v>50</v>
      </c>
      <c r="J611" s="162">
        <f ca="1">IFERROR(__xludf.DUMMYFUNCTION("IMPORTRANGE(""https://docs.google.com/spreadsheets/d/11923uPwbBZFjjGgGUA6NLw09EwE0CqkOc4q9oUmW1yo/edit?usp=sharing"",""พิจิตร!J506"")"),0)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5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IFERROR(__xludf.DUMMYFUNCTION("IMPORTRANGE(""https://docs.google.com/spreadsheets/d/11923uPwbBZFjjGgGUA6NLw09EwE0CqkOc4q9oUmW1yo/edit?usp=sharing"",""พิจิตร!I507"")"),0)</f>
        <v>0</v>
      </c>
      <c r="J612" s="197">
        <f ca="1">IFERROR(__xludf.DUMMYFUNCTION("IMPORTRANGE(""https://docs.google.com/spreadsheets/d/11923uPwbBZFjjGgGUA6NLw09EwE0CqkOc4q9oUmW1yo/edit?usp=sharing"",""พิจิตร!J507"")"),0)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5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IFERROR(__xludf.DUMMYFUNCTION("IMPORTRANGE(""https://docs.google.com/spreadsheets/d/11923uPwbBZFjjGgGUA6NLw09EwE0CqkOc4q9oUmW1yo/edit?usp=sharing"",""พิจิตร!I508"")"),0)</f>
        <v>0</v>
      </c>
      <c r="J613" s="197">
        <f ca="1">IFERROR(__xludf.DUMMYFUNCTION("IMPORTRANGE(""https://docs.google.com/spreadsheets/d/11923uPwbBZFjjGgGUA6NLw09EwE0CqkOc4q9oUmW1yo/edit?usp=sharing"",""พิจิตร!J508"")"),0)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5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IFERROR(__xludf.DUMMYFUNCTION("IMPORTRANGE(""https://docs.google.com/spreadsheets/d/11923uPwbBZFjjGgGUA6NLw09EwE0CqkOc4q9oUmW1yo/edit?usp=sharing"",""พิจิตร!I509"")"),0)</f>
        <v>0</v>
      </c>
      <c r="J614" s="197">
        <f ca="1">IFERROR(__xludf.DUMMYFUNCTION("IMPORTRANGE(""https://docs.google.com/spreadsheets/d/11923uPwbBZFjjGgGUA6NLw09EwE0CqkOc4q9oUmW1yo/edit?usp=sharing"",""พิจิตร!J509"")"),0)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5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IFERROR(__xludf.DUMMYFUNCTION("IMPORTRANGE(""https://docs.google.com/spreadsheets/d/11923uPwbBZFjjGgGUA6NLw09EwE0CqkOc4q9oUmW1yo/edit?usp=sharing"",""พิจิตร!I510"")"),0)</f>
        <v>0</v>
      </c>
      <c r="J615" s="197">
        <f ca="1">IFERROR(__xludf.DUMMYFUNCTION("IMPORTRANGE(""https://docs.google.com/spreadsheets/d/11923uPwbBZFjjGgGUA6NLw09EwE0CqkOc4q9oUmW1yo/edit?usp=sharing"",""พิจิตร!J510"")"),0)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IFERROR(__xludf.DUMMYFUNCTION("IMPORTRANGE(""https://docs.google.com/spreadsheets/d/11923uPwbBZFjjGgGUA6NLw09EwE0CqkOc4q9oUmW1yo/edit?usp=sharing"",""พิจิตร!I511"")"),0)</f>
        <v>0</v>
      </c>
      <c r="J616" s="197">
        <f ca="1">IFERROR(__xludf.DUMMYFUNCTION("IMPORTRANGE(""https://docs.google.com/spreadsheets/d/11923uPwbBZFjjGgGUA6NLw09EwE0CqkOc4q9oUmW1yo/edit?usp=sharing"",""พิจิตร!J511"")"),0)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IFERROR(__xludf.DUMMYFUNCTION("IMPORTRANGE(""https://docs.google.com/spreadsheets/d/11923uPwbBZFjjGgGUA6NLw09EwE0CqkOc4q9oUmW1yo/edit?usp=sharing"",""พิจิตร!I512"")"),0)</f>
        <v>0</v>
      </c>
      <c r="J617" s="187">
        <f ca="1">IFERROR(__xludf.DUMMYFUNCTION("IMPORTRANGE(""https://docs.google.com/spreadsheets/d/11923uPwbBZFjjGgGUA6NLw09EwE0CqkOc4q9oUmW1yo/edit?usp=sharing"",""พิจิตร!J512"")"),0)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5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IFERROR(__xludf.DUMMYFUNCTION("IMPORTRANGE(""https://docs.google.com/spreadsheets/d/11923uPwbBZFjjGgGUA6NLw09EwE0CqkOc4q9oUmW1yo/edit?usp=sharing"",""พิจิตร!I513"")"),0)</f>
        <v>0</v>
      </c>
      <c r="J618" s="188">
        <f ca="1">IFERROR(__xludf.DUMMYFUNCTION("IMPORTRANGE(""https://docs.google.com/spreadsheets/d/11923uPwbBZFjjGgGUA6NLw09EwE0CqkOc4q9oUmW1yo/edit?usp=sharing"",""พิจิตร!J513"")"),0)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5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IFERROR(__xludf.DUMMYFUNCTION("IMPORTRANGE(""https://docs.google.com/spreadsheets/d/11923uPwbBZFjjGgGUA6NLw09EwE0CqkOc4q9oUmW1yo/edit?usp=sharing"",""พิจิตร!I514"")"),0)</f>
        <v>0</v>
      </c>
      <c r="J619" s="188">
        <f ca="1">IFERROR(__xludf.DUMMYFUNCTION("IMPORTRANGE(""https://docs.google.com/spreadsheets/d/11923uPwbBZFjjGgGUA6NLw09EwE0CqkOc4q9oUmW1yo/edit?usp=sharing"",""พิจิตร!J514"")"),0)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IFERROR(__xludf.DUMMYFUNCTION("IMPORTRANGE(""https://docs.google.com/spreadsheets/d/11923uPwbBZFjjGgGUA6NLw09EwE0CqkOc4q9oUmW1yo/edit?usp=sharing"",""พิจิตร!I515"")"),0)</f>
        <v>0</v>
      </c>
      <c r="J620" s="202">
        <f ca="1">IFERROR(__xludf.DUMMYFUNCTION("IMPORTRANGE(""https://docs.google.com/spreadsheets/d/11923uPwbBZFjjGgGUA6NLw09EwE0CqkOc4q9oUmW1yo/edit?usp=sharing"",""พิจิตร!J515"")"),0)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5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IFERROR(__xludf.DUMMYFUNCTION("IMPORTRANGE(""https://docs.google.com/spreadsheets/d/11923uPwbBZFjjGgGUA6NLw09EwE0CqkOc4q9oUmW1yo/edit?usp=sharing"",""พิจิตร!I516"")"),0)</f>
        <v>0</v>
      </c>
      <c r="J621" s="202">
        <f ca="1">IFERROR(__xludf.DUMMYFUNCTION("IMPORTRANGE(""https://docs.google.com/spreadsheets/d/11923uPwbBZFjjGgGUA6NLw09EwE0CqkOc4q9oUmW1yo/edit?usp=sharing"",""พิจิตร!J516"")"),0)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5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IFERROR(__xludf.DUMMYFUNCTION("IMPORTRANGE(""https://docs.google.com/spreadsheets/d/11923uPwbBZFjjGgGUA6NLw09EwE0CqkOc4q9oUmW1yo/edit?usp=sharing"",""พิจิตร!I517"")"),0)</f>
        <v>0</v>
      </c>
      <c r="J622" s="188">
        <f ca="1">IFERROR(__xludf.DUMMYFUNCTION("IMPORTRANGE(""https://docs.google.com/spreadsheets/d/11923uPwbBZFjjGgGUA6NLw09EwE0CqkOc4q9oUmW1yo/edit?usp=sharing"",""พิจิตร!J517"")"),0)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5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IFERROR(__xludf.DUMMYFUNCTION("IMPORTRANGE(""https://docs.google.com/spreadsheets/d/11923uPwbBZFjjGgGUA6NLw09EwE0CqkOc4q9oUmW1yo/edit?usp=sharing"",""พิจิตร!I518"")"),0)</f>
        <v>0</v>
      </c>
      <c r="J623" s="188">
        <f ca="1">IFERROR(__xludf.DUMMYFUNCTION("IMPORTRANGE(""https://docs.google.com/spreadsheets/d/11923uPwbBZFjjGgGUA6NLw09EwE0CqkOc4q9oUmW1yo/edit?usp=sharing"",""พิจิตร!J518"")"),0)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5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IFERROR(__xludf.DUMMYFUNCTION("IMPORTRANGE(""https://docs.google.com/spreadsheets/d/11923uPwbBZFjjGgGUA6NLw09EwE0CqkOc4q9oUmW1yo/edit?usp=sharing"",""พิจิตร!I519"")"),0)</f>
        <v>0</v>
      </c>
      <c r="J624" s="187">
        <f ca="1">IFERROR(__xludf.DUMMYFUNCTION("IMPORTRANGE(""https://docs.google.com/spreadsheets/d/11923uPwbBZFjjGgGUA6NLw09EwE0CqkOc4q9oUmW1yo/edit?usp=sharing"",""พิจิตร!J519"")"),0)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5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IFERROR(__xludf.DUMMYFUNCTION("IMPORTRANGE(""https://docs.google.com/spreadsheets/d/11923uPwbBZFjjGgGUA6NLw09EwE0CqkOc4q9oUmW1yo/edit?usp=sharing"",""พิจิตร!I520"")"),0)</f>
        <v>0</v>
      </c>
      <c r="J625" s="188">
        <f ca="1">IFERROR(__xludf.DUMMYFUNCTION("IMPORTRANGE(""https://docs.google.com/spreadsheets/d/11923uPwbBZFjjGgGUA6NLw09EwE0CqkOc4q9oUmW1yo/edit?usp=sharing"",""พิจิตร!J520"")"),0)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5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IFERROR(__xludf.DUMMYFUNCTION("IMPORTRANGE(""https://docs.google.com/spreadsheets/d/11923uPwbBZFjjGgGUA6NLw09EwE0CqkOc4q9oUmW1yo/edit?usp=sharing"",""พิจิตร!I521"")"),0)</f>
        <v>0</v>
      </c>
      <c r="J626" s="188">
        <f ca="1">IFERROR(__xludf.DUMMYFUNCTION("IMPORTRANGE(""https://docs.google.com/spreadsheets/d/11923uPwbBZFjjGgGUA6NLw09EwE0CqkOc4q9oUmW1yo/edit?usp=sharing"",""พิจิตร!J521"")"),0)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5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5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IFERROR(__xludf.DUMMYFUNCTION("IMPORTRANGE(""https://docs.google.com/spreadsheets/d/11923uPwbBZFjjGgGUA6NLw09EwE0CqkOc4q9oUmW1yo/edit?usp=sharing"",""พิจิตร!I523"")"),2520250)</f>
        <v>2520250</v>
      </c>
      <c r="J628" s="339">
        <f ca="1">IFERROR(__xludf.DUMMYFUNCTION("IMPORTRANGE(""https://docs.google.com/spreadsheets/d/11923uPwbBZFjjGgGUA6NLw09EwE0CqkOc4q9oUmW1yo/edit?usp=sharing"",""พิจิตร!J523"")"),370000)</f>
        <v>370000</v>
      </c>
      <c r="K628" s="340">
        <f t="shared" ref="K628:K635" ca="1" si="129">IF(I628&gt;0,J628*100/I628,0)</f>
        <v>14.681083225870449</v>
      </c>
      <c r="L628" s="340"/>
      <c r="M628" s="340"/>
      <c r="N628" s="340"/>
      <c r="O628" s="168"/>
      <c r="P628" s="168"/>
    </row>
    <row r="629" spans="1:16" ht="21.75" customHeight="1" x14ac:dyDescent="0.35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IFERROR(__xludf.DUMMYFUNCTION("IMPORTRANGE(""https://docs.google.com/spreadsheets/d/11923uPwbBZFjjGgGUA6NLw09EwE0CqkOc4q9oUmW1yo/edit?usp=sharing"",""พิจิตร!I524"")"),93)</f>
        <v>93</v>
      </c>
      <c r="J629" s="339">
        <f ca="1">IFERROR(__xludf.DUMMYFUNCTION("IMPORTRANGE(""https://docs.google.com/spreadsheets/d/11923uPwbBZFjjGgGUA6NLw09EwE0CqkOc4q9oUmW1yo/edit?usp=sharing"",""พิจิตร!J524"")"),13)</f>
        <v>13</v>
      </c>
      <c r="K629" s="340">
        <f t="shared" ca="1" si="129"/>
        <v>13.978494623655914</v>
      </c>
      <c r="L629" s="340"/>
      <c r="M629" s="340"/>
      <c r="N629" s="340"/>
      <c r="O629" s="168"/>
      <c r="P629" s="168"/>
    </row>
    <row r="630" spans="1:16" ht="21.75" customHeight="1" x14ac:dyDescent="0.35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IFERROR(__xludf.DUMMYFUNCTION("IMPORTRANGE(""https://docs.google.com/spreadsheets/d/11923uPwbBZFjjGgGUA6NLw09EwE0CqkOc4q9oUmW1yo/edit?usp=sharing"",""พิจิตร!I525"")"),510790.7)</f>
        <v>510790.7</v>
      </c>
      <c r="J630" s="339">
        <f ca="1">IFERROR(__xludf.DUMMYFUNCTION("IMPORTRANGE(""https://docs.google.com/spreadsheets/d/11923uPwbBZFjjGgGUA6NLw09EwE0CqkOc4q9oUmW1yo/edit?usp=sharing"",""พิจิตร!J525"")"),45074.55)</f>
        <v>45074.55</v>
      </c>
      <c r="K630" s="340">
        <f t="shared" ca="1" si="129"/>
        <v>8.8244656764502558</v>
      </c>
      <c r="L630" s="340"/>
      <c r="M630" s="340"/>
      <c r="N630" s="340"/>
      <c r="O630" s="168"/>
      <c r="P630" s="168"/>
    </row>
    <row r="631" spans="1:16" ht="21.75" customHeight="1" x14ac:dyDescent="0.35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IFERROR(__xludf.DUMMYFUNCTION("IMPORTRANGE(""https://docs.google.com/spreadsheets/d/11923uPwbBZFjjGgGUA6NLw09EwE0CqkOc4q9oUmW1yo/edit?usp=sharing"",""พิจิตร!I526"")"),29)</f>
        <v>29</v>
      </c>
      <c r="J631" s="339">
        <f ca="1">IFERROR(__xludf.DUMMYFUNCTION("IMPORTRANGE(""https://docs.google.com/spreadsheets/d/11923uPwbBZFjjGgGUA6NLw09EwE0CqkOc4q9oUmW1yo/edit?usp=sharing"",""พิจิตร!J526"")"),12)</f>
        <v>12</v>
      </c>
      <c r="K631" s="340">
        <f t="shared" ca="1" si="129"/>
        <v>41.379310344827587</v>
      </c>
      <c r="L631" s="340"/>
      <c r="M631" s="340"/>
      <c r="N631" s="340"/>
      <c r="O631" s="168"/>
      <c r="P631" s="168"/>
    </row>
    <row r="632" spans="1:16" ht="21.75" customHeight="1" x14ac:dyDescent="0.35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39">
        <f ca="1">IFERROR(__xludf.DUMMYFUNCTION("IMPORTRANGE(""https://docs.google.com/spreadsheets/d/11923uPwbBZFjjGgGUA6NLw09EwE0CqkOc4q9oUmW1yo/edit?usp=sharing"",""พิจิตร!J527"")"),2232101.28)</f>
        <v>2232101.2799999998</v>
      </c>
      <c r="K632" s="340">
        <f t="shared" ca="1" si="129"/>
        <v>36.348389563385268</v>
      </c>
      <c r="L632" s="340"/>
      <c r="M632" s="340"/>
      <c r="N632" s="340"/>
      <c r="O632" s="168"/>
      <c r="P632" s="168"/>
    </row>
    <row r="633" spans="1:16" ht="21.75" customHeight="1" x14ac:dyDescent="0.35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IFERROR(__xludf.DUMMYFUNCTION("IMPORTRANGE(""https://docs.google.com/spreadsheets/d/11923uPwbBZFjjGgGUA6NLw09EwE0CqkOc4q9oUmW1yo/edit?usp=sharing"",""พิจิตร!I528"")"),482)</f>
        <v>482</v>
      </c>
      <c r="J633" s="339">
        <f ca="1">IFERROR(__xludf.DUMMYFUNCTION("IMPORTRANGE(""https://docs.google.com/spreadsheets/d/11923uPwbBZFjjGgGUA6NLw09EwE0CqkOc4q9oUmW1yo/edit?usp=sharing"",""พิจิตร!J528"")"),302)</f>
        <v>302</v>
      </c>
      <c r="K633" s="340">
        <f t="shared" ca="1" si="129"/>
        <v>62.655601659751035</v>
      </c>
      <c r="L633" s="340"/>
      <c r="M633" s="340"/>
      <c r="N633" s="340"/>
      <c r="O633" s="168"/>
      <c r="P633" s="168"/>
    </row>
    <row r="634" spans="1:16" ht="21.75" customHeight="1" x14ac:dyDescent="0.35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IFERROR(__xludf.DUMMYFUNCTION("IMPORTRANGE(""https://docs.google.com/spreadsheets/d/11923uPwbBZFjjGgGUA6NLw09EwE0CqkOc4q9oUmW1yo/edit?usp=sharing"",""พิจิตร!I529"")"),2320000)</f>
        <v>2320000</v>
      </c>
      <c r="J634" s="339">
        <f ca="1">IFERROR(__xludf.DUMMYFUNCTION("IMPORTRANGE(""https://docs.google.com/spreadsheets/d/11923uPwbBZFjjGgGUA6NLw09EwE0CqkOc4q9oUmW1yo/edit?usp=sharing"",""พิจิตร!J529"")"),180000)</f>
        <v>180000</v>
      </c>
      <c r="K634" s="340">
        <f t="shared" ca="1" si="129"/>
        <v>7.7586206896551726</v>
      </c>
      <c r="L634" s="340"/>
      <c r="M634" s="340"/>
      <c r="N634" s="340"/>
      <c r="O634" s="168"/>
      <c r="P634" s="168"/>
    </row>
    <row r="635" spans="1:16" ht="21.75" customHeight="1" x14ac:dyDescent="0.35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IFERROR(__xludf.DUMMYFUNCTION("IMPORTRANGE(""https://docs.google.com/spreadsheets/d/11923uPwbBZFjjGgGUA6NLw09EwE0CqkOc4q9oUmW1yo/edit?usp=sharing"",""พิจิตร!I530"")"),87)</f>
        <v>87</v>
      </c>
      <c r="J635" s="502">
        <f ca="1">IFERROR(__xludf.DUMMYFUNCTION("IMPORTRANGE(""https://docs.google.com/spreadsheets/d/11923uPwbBZFjjGgGUA6NLw09EwE0CqkOc4q9oUmW1yo/edit?usp=sharing"",""พิจิตร!J530"")"),6)</f>
        <v>6</v>
      </c>
      <c r="K635" s="484">
        <f t="shared" ca="1" si="129"/>
        <v>6.8965517241379306</v>
      </c>
      <c r="L635" s="484"/>
      <c r="M635" s="484"/>
      <c r="N635" s="484"/>
      <c r="O635" s="503"/>
      <c r="P635" s="503"/>
    </row>
    <row r="636" spans="1:16" ht="21.75" customHeight="1" x14ac:dyDescent="0.35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5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5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5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5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5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5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5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5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5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5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5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5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5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5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5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5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5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5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5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5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5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5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5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5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5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5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5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5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5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5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5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5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5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5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5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5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5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5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5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5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5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5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5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5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5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5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5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5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5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5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5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5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5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5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5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5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5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5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5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5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5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5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5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5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5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5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5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5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5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5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5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5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5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5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5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5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5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5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5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5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5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5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5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5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5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5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5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5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5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5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5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5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5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5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5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5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5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5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5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5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5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5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5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5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5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5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5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5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5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5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5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5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5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5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5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5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5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5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5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5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5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5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5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5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5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5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5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5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5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5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5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5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5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5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5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5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5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5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5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5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5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5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5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5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5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5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5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5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5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5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5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5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5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5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5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5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5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5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5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5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5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5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5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5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5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5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5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5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5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5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5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5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5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5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5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5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5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5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5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5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5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5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5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5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5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5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5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5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5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5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5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5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5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5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5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5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5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5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5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5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5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5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5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5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5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5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5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5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5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5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5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5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5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5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5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5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5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5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5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5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5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5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5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5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5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5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5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5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5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5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5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5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5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5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5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5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5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5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5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5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5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5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5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5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5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5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5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5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5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5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5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5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5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5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5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5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5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5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5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5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5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5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5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5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5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5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5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5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5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5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5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5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5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5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5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5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5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5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5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5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5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5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5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5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5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5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5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5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5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5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5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5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5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5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5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5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5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5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5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5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5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5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5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5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5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5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5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5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5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5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5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5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5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5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5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5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5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5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5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5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5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5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5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5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5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5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5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5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5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5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5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5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5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5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5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5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5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5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5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5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5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5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5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5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5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5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5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5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5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5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5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5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5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5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5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5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5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5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5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5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5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5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5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5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5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5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5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5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5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5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5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5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5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5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5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5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5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5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5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5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5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5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5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5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5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5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5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5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5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5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5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5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5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5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5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5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5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5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5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5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5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5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5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5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5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5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5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5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5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5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5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5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5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5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5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5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5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5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5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5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5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5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5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5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5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5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5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5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5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5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5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5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5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5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5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5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5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5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5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5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5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5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5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5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5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5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5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5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5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5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5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5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5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5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5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5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5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5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5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5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5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5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5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5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5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5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5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5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5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5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5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5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5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5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5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5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5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5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5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5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5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5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5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5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5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5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5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5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5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5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5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5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5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5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5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5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5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5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5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5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5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5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5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5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5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5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5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18</vt:i4>
      </vt:variant>
      <vt:variant>
        <vt:lpstr>ช่วงที่มีชื่อ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เชียงใหม่!Print_Titles</vt:lpstr>
      <vt:lpstr>เชียงราย!Print_Titles</vt:lpstr>
      <vt:lpstr>เพชรบูรณ์!Print_Titles</vt:lpstr>
      <vt:lpstr>แพร่!Print_Titles</vt:lpstr>
      <vt:lpstr>แม่ฮ่องสอน!Print_Titles</vt:lpstr>
      <vt:lpstr>กำแพงเพชร!Print_Titles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BarbiezZesT Phanumphai</cp:lastModifiedBy>
  <cp:lastPrinted>2022-03-17T03:27:29Z</cp:lastPrinted>
  <dcterms:modified xsi:type="dcterms:W3CDTF">2022-03-17T03:47:15Z</dcterms:modified>
</cp:coreProperties>
</file>